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orlogcapital-my.sharepoint.com/personal/jqiu_orlogcapital_com/Documents/Research/Ecommerce/DADA/Activist/"/>
    </mc:Choice>
  </mc:AlternateContent>
  <xr:revisionPtr revIDLastSave="3316" documentId="8_{63563A11-8432-46B3-AEC5-D580AD022B8F}" xr6:coauthVersionLast="47" xr6:coauthVersionMax="47" xr10:uidLastSave="{44EE87FE-445E-4DC3-ADFB-5ADB75E4F27D}"/>
  <bookViews>
    <workbookView xWindow="-38520" yWindow="-120" windowWidth="38640" windowHeight="15720" xr2:uid="{3482E70F-B570-4C72-8895-D9DF53989208}"/>
  </bookViews>
  <sheets>
    <sheet name="DADA-SOTP" sheetId="3" r:id="rId1"/>
    <sheet name="DADA-Financials" sheetId="2" r:id="rId2"/>
    <sheet name="Events" sheetId="4" r:id="rId3"/>
  </sheets>
  <externalReferences>
    <externalReference r:id="rId4"/>
  </externalReferences>
  <definedNames>
    <definedName name="CIQWBGuid" localSheetId="0" hidden="1">"0b6fcd39-13a0-412d-9c36-3a754e04a2c4"</definedName>
    <definedName name="CIQWBGuid" hidden="1">"b8dcc0d7-4cdd-423f-8a2e-c896707b41ce"</definedName>
    <definedName name="HKD">'[1]Annual Model'!$B$100</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BROKER_REC_NO_REUT" hidden="1">"c5315"</definedName>
    <definedName name="IQ_AVG_BROKER_REC_REUT" hidden="1">"c3630"</definedName>
    <definedName name="IQ_CAPEX_BR" hidden="1">"c111"</definedName>
    <definedName name="IQ_CH">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ARNINGS_ANNOUNCE_DATE_REUT" hidden="1">"c5314"</definedName>
    <definedName name="IQ_EBITDA_EST_REUT" hidden="1">"c3640"</definedName>
    <definedName name="IQ_EBITDA_HIGH_EST_REUT" hidden="1">"c3642"</definedName>
    <definedName name="IQ_EBITDA_LOW_EST_REUT" hidden="1">"c3643"</definedName>
    <definedName name="IQ_EBITDA_MEDIAN_EST_REUT" hidden="1">"c3641"</definedName>
    <definedName name="IQ_EBITDA_NUM_EST_REUT" hidden="1">"c3644"</definedName>
    <definedName name="IQ_EBITDA_STDDEV_EST_REUT" hidden="1">"c3645"</definedName>
    <definedName name="IQ_EBT_BR" hidden="1">"c378"</definedName>
    <definedName name="IQ_EBT_EXCL_BR" hidden="1">"c381"</definedName>
    <definedName name="IQ_EPS_EST_REUT" hidden="1">"c5453"</definedName>
    <definedName name="IQ_EPS_HIGH_EST_REUT" hidden="1">"c5454"</definedName>
    <definedName name="IQ_EPS_LOW_EST_REUT" hidden="1">"c5455"</definedName>
    <definedName name="IQ_EPS_MEDIAN_EST_REUT" hidden="1">"c5456"</definedName>
    <definedName name="IQ_EPS_NUM_EST_REUT" hidden="1">"c5451"</definedName>
    <definedName name="IQ_EPS_STDDEV_EST_REUT" hidden="1">"c5452"</definedName>
    <definedName name="IQ_EST_CURRENCY_REUT" hidden="1">"c5437"</definedName>
    <definedName name="IQ_EST_DATE_REUT" hidden="1">"c5438"</definedName>
    <definedName name="IQ_EST_EPS_GROWTH_1YR_REUT" hidden="1">"c3646"</definedName>
    <definedName name="IQ_EST_EPS_GROWTH_5YR_REUT" hidden="1">"c3633"</definedName>
    <definedName name="IQ_EST_EPS_GROWTH_Q_1YR_REUT" hidden="1">"c5410"</definedName>
    <definedName name="IQ_EXTRA_ACC_ITEMS_BR" hidden="1">"c412"</definedName>
    <definedName name="IQ_FH">100000</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HIGH_TARGET_PRICE_REUT" hidden="1">"c5317"</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MONTH" hidden="1">120000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TH">15000</definedName>
    <definedName name="IQ_MTD" hidden="1">800000</definedName>
    <definedName name="IQ_NAMES_REVISION_DATE_" hidden="1">"08/14/2019 14:22:46"</definedName>
    <definedName name="IQ_NET_DEBT_ISSUED_BR" hidden="1">"c753"</definedName>
    <definedName name="IQ_NET_INT_INC_BR" hidden="1">"c765"</definedName>
    <definedName name="IQ_NTM">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_EXCL_FWD_REUT" hidden="1">"c4049"</definedName>
    <definedName name="IQ_PEG_FWD_REUT" hidden="1">"c4052"</definedName>
    <definedName name="IQ_PREF_ISSUED_BR" hidden="1">"c1047"</definedName>
    <definedName name="IQ_PREF_OTHER_BR" hidden="1">"c1055"</definedName>
    <definedName name="IQ_PREF_REP_BR" hidden="1">"c1062"</definedName>
    <definedName name="IQ_PRICE_TARGET_REUT" hidden="1">"c3631"</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EV_STDDEV_EST_REUT" hidden="1">"c3639"</definedName>
    <definedName name="IQ_REVENUE_EST_REUT" hidden="1">"c3634"</definedName>
    <definedName name="IQ_REVENUE_HIGH_EST_REUT" hidden="1">"c3636"</definedName>
    <definedName name="IQ_REVENUE_LOW_EST_REUT" hidden="1">"c3637"</definedName>
    <definedName name="IQ_REVENUE_MEDIAN_EST_REUT" hidden="1">"c3635"</definedName>
    <definedName name="IQ_REVENUE_NUM_EST_REUT" hidden="1">"c3638"</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ARGET_PRICE_NUM_REUT" hidden="1">"c5319"</definedName>
    <definedName name="IQ_TARGET_PRICE_STDDEV_REUT" hidden="1">"c5320"</definedName>
    <definedName name="IQ_TEV_EBITDA_FWD_REUT" hidden="1">"c4050"</definedName>
    <definedName name="IQ_TEV_TOTAL_REV_FWD_REUT" hidden="1">"c4051"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_xlnm.Print_Area" localSheetId="0">'DADA-SOTP'!$A$1:$Q$61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3" l="1"/>
  <c r="H133" i="2"/>
  <c r="C18" i="3"/>
  <c r="C19" i="3" s="1"/>
  <c r="D18" i="3"/>
  <c r="D19" i="3" s="1"/>
  <c r="B18" i="3"/>
  <c r="B19" i="3" s="1"/>
  <c r="B51" i="3"/>
  <c r="C51" i="3"/>
  <c r="B86" i="2" l="1"/>
  <c r="B88" i="2"/>
  <c r="C86" i="2" l="1"/>
  <c r="D86" i="2"/>
  <c r="E86" i="2"/>
  <c r="F86" i="2"/>
  <c r="O86" i="2"/>
  <c r="P86" i="2"/>
  <c r="R86" i="2"/>
  <c r="S86" i="2"/>
  <c r="T86" i="2"/>
  <c r="C88" i="2"/>
  <c r="D51" i="3" l="1"/>
  <c r="C63" i="2"/>
  <c r="D63" i="2"/>
  <c r="E63" i="2"/>
  <c r="G63" i="2"/>
  <c r="B63" i="2"/>
  <c r="K167" i="2"/>
  <c r="K168" i="2" s="1"/>
  <c r="L167" i="2"/>
  <c r="L168" i="2" s="1"/>
  <c r="M167" i="2"/>
  <c r="M168" i="2" s="1"/>
  <c r="N167" i="2"/>
  <c r="N168" i="2" s="1"/>
  <c r="O167" i="2"/>
  <c r="O168" i="2" s="1"/>
  <c r="P167" i="2"/>
  <c r="P168" i="2" s="1"/>
  <c r="Q167" i="2"/>
  <c r="Q168" i="2" s="1"/>
  <c r="R167" i="2"/>
  <c r="R168" i="2" s="1"/>
  <c r="R192" i="2" s="1"/>
  <c r="S167" i="2"/>
  <c r="S168" i="2" s="1"/>
  <c r="S192" i="2" s="1"/>
  <c r="T167" i="2"/>
  <c r="T168" i="2" s="1"/>
  <c r="T192" i="2" s="1"/>
  <c r="U167" i="2"/>
  <c r="U168" i="2" s="1"/>
  <c r="U192" i="2" s="1"/>
  <c r="V167" i="2"/>
  <c r="V168" i="2" s="1"/>
  <c r="V192" i="2" s="1"/>
  <c r="W167" i="2"/>
  <c r="W168" i="2" s="1"/>
  <c r="W192" i="2" s="1"/>
  <c r="X167" i="2"/>
  <c r="X168" i="2" s="1"/>
  <c r="X192" i="2" s="1"/>
  <c r="Y167" i="2"/>
  <c r="Y168" i="2" s="1"/>
  <c r="Y192" i="2" s="1"/>
  <c r="Z167" i="2"/>
  <c r="Z168" i="2" s="1"/>
  <c r="Z192" i="2" s="1"/>
  <c r="AA167" i="2"/>
  <c r="AA168" i="2" s="1"/>
  <c r="AA192" i="2" s="1"/>
  <c r="AB167" i="2"/>
  <c r="AB168" i="2" s="1"/>
  <c r="AB192" i="2" s="1"/>
  <c r="AC167" i="2"/>
  <c r="AC168" i="2" s="1"/>
  <c r="AD167" i="2"/>
  <c r="AD168" i="2" s="1"/>
  <c r="AE167" i="2"/>
  <c r="AE168" i="2" s="1"/>
  <c r="AF167" i="2"/>
  <c r="AF168" i="2" s="1"/>
  <c r="AG167" i="2"/>
  <c r="AG168" i="2" s="1"/>
  <c r="AH167" i="2"/>
  <c r="AH168" i="2" s="1"/>
  <c r="AI167" i="2"/>
  <c r="AI168" i="2" s="1"/>
  <c r="AI192" i="2" s="1"/>
  <c r="AJ167" i="2"/>
  <c r="AJ168" i="2" s="1"/>
  <c r="J167" i="2"/>
  <c r="J168" i="2" s="1"/>
  <c r="C167" i="2"/>
  <c r="C168" i="2" s="1"/>
  <c r="D167" i="2"/>
  <c r="D168" i="2" s="1"/>
  <c r="E167" i="2"/>
  <c r="E168" i="2" s="1"/>
  <c r="F167" i="2"/>
  <c r="F168" i="2" s="1"/>
  <c r="G167" i="2"/>
  <c r="G168" i="2" s="1"/>
  <c r="H167" i="2"/>
  <c r="H168" i="2" s="1"/>
  <c r="B167" i="2"/>
  <c r="B168" i="2" s="1"/>
  <c r="C3" i="3" l="1"/>
  <c r="C5" i="3" s="1"/>
  <c r="U169" i="2"/>
  <c r="T169" i="2"/>
  <c r="R169" i="2"/>
  <c r="D169" i="2"/>
  <c r="AJ169" i="2"/>
  <c r="W169" i="2"/>
  <c r="AD169" i="2"/>
  <c r="G169" i="2"/>
  <c r="X169" i="2"/>
  <c r="V169" i="2"/>
  <c r="H169" i="2"/>
  <c r="F169" i="2"/>
  <c r="E169" i="2"/>
  <c r="N169" i="2"/>
  <c r="Y169" i="2"/>
  <c r="S169" i="2"/>
  <c r="C169" i="2"/>
  <c r="AB169" i="2"/>
  <c r="Z169" i="2"/>
  <c r="Q169" i="2"/>
  <c r="AI169" i="2"/>
  <c r="P169" i="2"/>
  <c r="AC169" i="2"/>
  <c r="O169" i="2"/>
  <c r="AA169" i="2"/>
  <c r="AF169" i="2"/>
  <c r="AH169" i="2"/>
  <c r="AG169" i="2"/>
  <c r="AE169" i="2"/>
  <c r="C21" i="3" l="1"/>
  <c r="C11" i="3"/>
  <c r="C13" i="3"/>
  <c r="D3" i="3"/>
  <c r="D5" i="3" s="1"/>
  <c r="B3" i="3"/>
  <c r="B5" i="3" s="1"/>
  <c r="B21" i="3" l="1"/>
  <c r="B13" i="3"/>
  <c r="B11" i="3"/>
  <c r="D21" i="3"/>
  <c r="D13" i="3"/>
  <c r="D11" i="3"/>
  <c r="D9" i="3"/>
  <c r="C9" i="3"/>
  <c r="B9" i="3"/>
  <c r="D15" i="3" l="1"/>
  <c r="D16" i="3" s="1"/>
  <c r="B15" i="3"/>
  <c r="C15" i="3"/>
  <c r="B24" i="3" l="1"/>
  <c r="B25" i="3" s="1"/>
  <c r="B16" i="3"/>
  <c r="C24" i="3"/>
  <c r="C25" i="3" s="1"/>
  <c r="C16" i="3"/>
  <c r="D24" i="3"/>
  <c r="C29" i="3" l="1"/>
  <c r="B29" i="3"/>
  <c r="D29" i="3"/>
  <c r="D25" i="3"/>
  <c r="I28" i="3" l="1"/>
  <c r="D17" i="2"/>
  <c r="D15" i="2" s="1"/>
  <c r="E17" i="2"/>
  <c r="E15" i="2" s="1"/>
  <c r="F17" i="2"/>
  <c r="F15" i="2" s="1"/>
  <c r="G17" i="2"/>
  <c r="G15" i="2" s="1"/>
  <c r="H17" i="2"/>
  <c r="D205" i="2"/>
  <c r="D203" i="2" s="1"/>
  <c r="D207" i="2" s="1"/>
  <c r="E205" i="2"/>
  <c r="E203" i="2" s="1"/>
  <c r="E207" i="2" s="1"/>
  <c r="F205" i="2"/>
  <c r="F203" i="2" s="1"/>
  <c r="G205" i="2"/>
  <c r="G203" i="2" s="1"/>
  <c r="H205" i="2"/>
  <c r="H204" i="2"/>
  <c r="O57" i="2"/>
  <c r="P57" i="2"/>
  <c r="R57" i="2"/>
  <c r="S57" i="2"/>
  <c r="T57" i="2"/>
  <c r="V57" i="2"/>
  <c r="W57" i="2"/>
  <c r="X57" i="2"/>
  <c r="Z57" i="2"/>
  <c r="AA57" i="2"/>
  <c r="AB57" i="2"/>
  <c r="AD57" i="2"/>
  <c r="AE57" i="2"/>
  <c r="AF57" i="2"/>
  <c r="AH57" i="2"/>
  <c r="AI57" i="2"/>
  <c r="AJ57" i="2"/>
  <c r="F57" i="2"/>
  <c r="G57" i="2"/>
  <c r="H57" i="2"/>
  <c r="E57" i="2"/>
  <c r="AJ23" i="2"/>
  <c r="H203" i="2" l="1"/>
  <c r="AI194" i="2" l="1"/>
  <c r="C53" i="2"/>
  <c r="D53" i="2"/>
  <c r="E53" i="2"/>
  <c r="F53" i="2"/>
  <c r="G53" i="2"/>
  <c r="H53" i="2"/>
  <c r="B53" i="2"/>
  <c r="O52" i="2"/>
  <c r="P52" i="2"/>
  <c r="Q52" i="2"/>
  <c r="R52" i="2"/>
  <c r="S52" i="2"/>
  <c r="T52" i="2"/>
  <c r="U52" i="2"/>
  <c r="V52" i="2"/>
  <c r="W52" i="2"/>
  <c r="X52" i="2"/>
  <c r="Y52" i="2"/>
  <c r="N52" i="2"/>
  <c r="C52" i="2"/>
  <c r="D52" i="2"/>
  <c r="E52" i="2"/>
  <c r="F52" i="2"/>
  <c r="G52" i="2"/>
  <c r="B52" i="2"/>
  <c r="C51" i="2"/>
  <c r="B51" i="2"/>
  <c r="Y72" i="2" l="1"/>
  <c r="Y86" i="2" s="1"/>
  <c r="Z72" i="2"/>
  <c r="Z86" i="2" s="1"/>
  <c r="AA72" i="2"/>
  <c r="AA86" i="2" s="1"/>
  <c r="AB72" i="2"/>
  <c r="AB86" i="2" s="1"/>
  <c r="X72" i="2"/>
  <c r="X86" i="2" s="1"/>
  <c r="V72" i="2"/>
  <c r="V86" i="2" s="1"/>
  <c r="U72" i="2"/>
  <c r="S145" i="2"/>
  <c r="T145" i="2"/>
  <c r="V145" i="2"/>
  <c r="W145" i="2"/>
  <c r="X145" i="2"/>
  <c r="Y145" i="2"/>
  <c r="Z145" i="2"/>
  <c r="AA145" i="2"/>
  <c r="AB145" i="2"/>
  <c r="AC145" i="2"/>
  <c r="AD145" i="2"/>
  <c r="AE145" i="2"/>
  <c r="AF145" i="2"/>
  <c r="AG145" i="2"/>
  <c r="AH145" i="2"/>
  <c r="AI145" i="2"/>
  <c r="AJ145" i="2"/>
  <c r="R145" i="2"/>
  <c r="S126" i="2"/>
  <c r="T126" i="2"/>
  <c r="U126" i="2"/>
  <c r="V126" i="2"/>
  <c r="W126" i="2"/>
  <c r="X126" i="2"/>
  <c r="Y126" i="2"/>
  <c r="Z126" i="2"/>
  <c r="AA126" i="2"/>
  <c r="AB126" i="2"/>
  <c r="AG126" i="2"/>
  <c r="AH126" i="2"/>
  <c r="AI126" i="2"/>
  <c r="AJ126" i="2"/>
  <c r="R126" i="2"/>
  <c r="T128" i="2"/>
  <c r="U128" i="2"/>
  <c r="AA128" i="2"/>
  <c r="AB128" i="2"/>
  <c r="R128" i="2"/>
  <c r="O172" i="2"/>
  <c r="P172" i="2"/>
  <c r="Q172" i="2"/>
  <c r="R172" i="2"/>
  <c r="S172" i="2"/>
  <c r="T172" i="2"/>
  <c r="U172" i="2"/>
  <c r="V172" i="2"/>
  <c r="W172" i="2"/>
  <c r="X172" i="2"/>
  <c r="Y172" i="2"/>
  <c r="Z172" i="2"/>
  <c r="AA172" i="2"/>
  <c r="AB172" i="2"/>
  <c r="AC172" i="2"/>
  <c r="AD172" i="2"/>
  <c r="AE172" i="2"/>
  <c r="AF172" i="2"/>
  <c r="AG172" i="2"/>
  <c r="N172" i="2"/>
  <c r="V134" i="2"/>
  <c r="V151" i="2" s="1"/>
  <c r="W134" i="2"/>
  <c r="W151" i="2" s="1"/>
  <c r="X134" i="2"/>
  <c r="X151" i="2" s="1"/>
  <c r="Z134" i="2"/>
  <c r="Z151" i="2" s="1"/>
  <c r="AA134" i="2"/>
  <c r="AA151" i="2" s="1"/>
  <c r="AB134" i="2"/>
  <c r="AB151" i="2" s="1"/>
  <c r="AD134" i="2"/>
  <c r="AD151" i="2" s="1"/>
  <c r="AI134" i="2"/>
  <c r="AI151" i="2" s="1"/>
  <c r="AJ134" i="2"/>
  <c r="AJ151" i="2" s="1"/>
  <c r="AB179" i="2"/>
  <c r="AA179" i="2"/>
  <c r="Z179" i="2"/>
  <c r="Y179" i="2"/>
  <c r="X179" i="2"/>
  <c r="W179" i="2"/>
  <c r="V179" i="2"/>
  <c r="T129" i="2" l="1"/>
  <c r="R129" i="2"/>
  <c r="U103" i="2"/>
  <c r="U129" i="2"/>
  <c r="U106" i="2" l="1"/>
  <c r="R185" i="2" l="1"/>
  <c r="S185" i="2"/>
  <c r="T185" i="2"/>
  <c r="U185" i="2"/>
  <c r="V185" i="2"/>
  <c r="W185" i="2"/>
  <c r="X185" i="2"/>
  <c r="Y185" i="2"/>
  <c r="Z185" i="2"/>
  <c r="AA185" i="2"/>
  <c r="AB185" i="2"/>
  <c r="AG185" i="2"/>
  <c r="AH185" i="2"/>
  <c r="AI185" i="2"/>
  <c r="AJ185" i="2"/>
  <c r="P185" i="2"/>
  <c r="F178" i="2"/>
  <c r="G178" i="2"/>
  <c r="H178" i="2"/>
  <c r="H192" i="2" s="1"/>
  <c r="G78" i="2" l="1"/>
  <c r="G192" i="2"/>
  <c r="F78" i="2"/>
  <c r="F192" i="2"/>
  <c r="H179" i="2"/>
  <c r="G128" i="2"/>
  <c r="G179" i="2"/>
  <c r="C139" i="2" l="1"/>
  <c r="C75" i="2"/>
  <c r="C150" i="2" s="1"/>
  <c r="B75" i="2"/>
  <c r="AH70" i="2"/>
  <c r="AG70" i="2"/>
  <c r="AF70" i="2"/>
  <c r="U70" i="2"/>
  <c r="Q70" i="2"/>
  <c r="N70" i="2" s="1"/>
  <c r="H70" i="2"/>
  <c r="D140" i="2"/>
  <c r="D156" i="2" s="1"/>
  <c r="E140" i="2"/>
  <c r="E156" i="2" s="1"/>
  <c r="F140" i="2"/>
  <c r="F156" i="2" s="1"/>
  <c r="G140" i="2"/>
  <c r="G156" i="2" s="1"/>
  <c r="C140" i="2"/>
  <c r="C156" i="2" s="1"/>
  <c r="D145" i="2"/>
  <c r="E145" i="2"/>
  <c r="F145" i="2"/>
  <c r="G145" i="2"/>
  <c r="H145" i="2"/>
  <c r="D126" i="2"/>
  <c r="E126" i="2"/>
  <c r="F126" i="2"/>
  <c r="H126" i="2"/>
  <c r="C126" i="2"/>
  <c r="D134" i="2"/>
  <c r="D151" i="2" s="1"/>
  <c r="F134" i="2"/>
  <c r="F151" i="2" s="1"/>
  <c r="G134" i="2"/>
  <c r="G151" i="2" s="1"/>
  <c r="C134" i="2"/>
  <c r="C151" i="2" s="1"/>
  <c r="AH84" i="2"/>
  <c r="AF84" i="2"/>
  <c r="AE84" i="2"/>
  <c r="AC84" i="2"/>
  <c r="Y84" i="2"/>
  <c r="S84" i="2"/>
  <c r="Q84" i="2"/>
  <c r="N84" i="2" s="1"/>
  <c r="E84" i="2"/>
  <c r="G83" i="2"/>
  <c r="F83" i="2"/>
  <c r="D83" i="2"/>
  <c r="C83" i="2"/>
  <c r="C87" i="2" s="1"/>
  <c r="B83" i="2"/>
  <c r="B87" i="2" s="1"/>
  <c r="AH80" i="2"/>
  <c r="AF80" i="2"/>
  <c r="AE80" i="2"/>
  <c r="AC80" i="2"/>
  <c r="Y80" i="2"/>
  <c r="S80" i="2"/>
  <c r="Q80" i="2"/>
  <c r="N80" i="2" s="1"/>
  <c r="E80" i="2"/>
  <c r="AH76" i="2"/>
  <c r="AF76" i="2"/>
  <c r="AE76" i="2"/>
  <c r="AA76" i="2"/>
  <c r="AC76" i="2" s="1"/>
  <c r="Y76" i="2"/>
  <c r="S76" i="2"/>
  <c r="Q76" i="2"/>
  <c r="N76" i="2" s="1"/>
  <c r="E76" i="2"/>
  <c r="H78" i="2"/>
  <c r="AJ74" i="2"/>
  <c r="AI74" i="2"/>
  <c r="AH74" i="2"/>
  <c r="AC74" i="2"/>
  <c r="AB74" i="2"/>
  <c r="AA74" i="2"/>
  <c r="AJ73" i="2"/>
  <c r="AI73" i="2"/>
  <c r="AH73" i="2"/>
  <c r="G73" i="2"/>
  <c r="G88" i="2" s="1"/>
  <c r="F73" i="2"/>
  <c r="F88" i="2" s="1"/>
  <c r="E73" i="2"/>
  <c r="E88" i="2" s="1"/>
  <c r="D73" i="2"/>
  <c r="D88" i="2" s="1"/>
  <c r="AH69" i="2"/>
  <c r="AG69" i="2"/>
  <c r="AF69" i="2"/>
  <c r="AE69" i="2"/>
  <c r="AD69" i="2"/>
  <c r="AC69" i="2"/>
  <c r="U69" i="2"/>
  <c r="U86" i="2" s="1"/>
  <c r="Q69" i="2"/>
  <c r="Q86" i="2" s="1"/>
  <c r="G69" i="2"/>
  <c r="G86" i="2" s="1"/>
  <c r="H86" i="2" l="1"/>
  <c r="B89" i="2"/>
  <c r="C89" i="2"/>
  <c r="F135" i="2"/>
  <c r="F152" i="2" s="1"/>
  <c r="D135" i="2"/>
  <c r="D152" i="2" s="1"/>
  <c r="C135" i="2"/>
  <c r="C152" i="2" s="1"/>
  <c r="G135" i="2"/>
  <c r="G152" i="2" s="1"/>
  <c r="N69" i="2"/>
  <c r="N86" i="2" s="1"/>
  <c r="AC73" i="2"/>
  <c r="AB73" i="2"/>
  <c r="AA73" i="2"/>
  <c r="Z73" i="2"/>
  <c r="R73" i="2"/>
  <c r="S73" i="2"/>
  <c r="T73" i="2"/>
  <c r="U73" i="2"/>
  <c r="AE74" i="2"/>
  <c r="AE52" i="2" s="1"/>
  <c r="AD74" i="2"/>
  <c r="AD52" i="2" s="1"/>
  <c r="AF74" i="2"/>
  <c r="AF52" i="2" s="1"/>
  <c r="AG74" i="2"/>
  <c r="AG52" i="2" s="1"/>
  <c r="Q73" i="2"/>
  <c r="P73" i="2"/>
  <c r="N73" i="2"/>
  <c r="O73" i="2"/>
  <c r="W73" i="2"/>
  <c r="Y73" i="2"/>
  <c r="X73" i="2"/>
  <c r="V73" i="2"/>
  <c r="H83" i="2"/>
  <c r="E134" i="2"/>
  <c r="E151" i="2" s="1"/>
  <c r="AA52" i="2"/>
  <c r="Y134" i="2"/>
  <c r="Y151" i="2" s="1"/>
  <c r="AF134" i="2"/>
  <c r="AF151" i="2" s="1"/>
  <c r="AI52" i="2"/>
  <c r="AJ52" i="2"/>
  <c r="H134" i="2"/>
  <c r="H151" i="2" s="1"/>
  <c r="AC52" i="2"/>
  <c r="AH134" i="2"/>
  <c r="AH151" i="2" s="1"/>
  <c r="AH52" i="2"/>
  <c r="E83" i="2"/>
  <c r="AB52" i="2"/>
  <c r="AC134" i="2"/>
  <c r="AC151" i="2" s="1"/>
  <c r="AE134" i="2"/>
  <c r="AE151" i="2" s="1"/>
  <c r="AH139" i="2"/>
  <c r="AH51" i="2"/>
  <c r="AI139" i="2"/>
  <c r="AI51" i="2"/>
  <c r="AJ139" i="2"/>
  <c r="AJ51" i="2"/>
  <c r="D75" i="2"/>
  <c r="D150" i="2" s="1"/>
  <c r="D51" i="2"/>
  <c r="G75" i="2"/>
  <c r="G150" i="2" s="1"/>
  <c r="G51" i="2"/>
  <c r="E139" i="2"/>
  <c r="E51" i="2"/>
  <c r="F75" i="2"/>
  <c r="F150" i="2" s="1"/>
  <c r="F51" i="2"/>
  <c r="H73" i="2"/>
  <c r="H88" i="2" s="1"/>
  <c r="H52" i="2"/>
  <c r="U76" i="2"/>
  <c r="E75" i="2"/>
  <c r="E133" i="2" s="1"/>
  <c r="G139" i="2"/>
  <c r="F139" i="2"/>
  <c r="D139" i="2"/>
  <c r="C133" i="2"/>
  <c r="AI82" i="2"/>
  <c r="AI88" i="2" s="1"/>
  <c r="H140" i="2"/>
  <c r="H156" i="2" s="1"/>
  <c r="AG84" i="2"/>
  <c r="U84" i="2"/>
  <c r="Z74" i="2"/>
  <c r="U80" i="2"/>
  <c r="AJ82" i="2"/>
  <c r="AJ88" i="2" s="1"/>
  <c r="AG80" i="2"/>
  <c r="AG76" i="2"/>
  <c r="AH82" i="2"/>
  <c r="AH88" i="2" s="1"/>
  <c r="AJ100" i="2"/>
  <c r="AI100" i="2"/>
  <c r="AH100" i="2"/>
  <c r="AG100" i="2"/>
  <c r="AF100" i="2"/>
  <c r="AE100" i="2"/>
  <c r="AD100" i="2"/>
  <c r="AC100" i="2"/>
  <c r="AB100" i="2"/>
  <c r="AA100" i="2"/>
  <c r="Z100" i="2"/>
  <c r="X100" i="2"/>
  <c r="W100" i="2"/>
  <c r="V100" i="2"/>
  <c r="T100" i="2"/>
  <c r="S100" i="2"/>
  <c r="H100" i="2"/>
  <c r="G100" i="2"/>
  <c r="F100" i="2"/>
  <c r="E100" i="2"/>
  <c r="AB99" i="2"/>
  <c r="AA99" i="2"/>
  <c r="Z99" i="2"/>
  <c r="Y99" i="2"/>
  <c r="X99" i="2"/>
  <c r="W99" i="2"/>
  <c r="V99" i="2"/>
  <c r="T99" i="2"/>
  <c r="S99" i="2"/>
  <c r="F99" i="2"/>
  <c r="E99" i="2"/>
  <c r="D99" i="2"/>
  <c r="C99" i="2"/>
  <c r="AJ98" i="2"/>
  <c r="AI98" i="2"/>
  <c r="AH98" i="2"/>
  <c r="AG98" i="2"/>
  <c r="AB98" i="2"/>
  <c r="AA98" i="2"/>
  <c r="Z98" i="2"/>
  <c r="Y98" i="2"/>
  <c r="X98" i="2"/>
  <c r="W98" i="2"/>
  <c r="V98" i="2"/>
  <c r="T98" i="2"/>
  <c r="S98" i="2"/>
  <c r="R98" i="2"/>
  <c r="P98" i="2"/>
  <c r="O98" i="2"/>
  <c r="H98" i="2"/>
  <c r="F98" i="2"/>
  <c r="E98" i="2"/>
  <c r="D98" i="2"/>
  <c r="U97" i="2"/>
  <c r="U98" i="2" s="1"/>
  <c r="Q97" i="2"/>
  <c r="N97" i="2" s="1"/>
  <c r="R100" i="2" s="1"/>
  <c r="C97" i="2"/>
  <c r="D100" i="2" s="1"/>
  <c r="B97" i="2"/>
  <c r="B98" i="2" s="1"/>
  <c r="AF96" i="2"/>
  <c r="AF98" i="2" s="1"/>
  <c r="AE96" i="2"/>
  <c r="AE99" i="2" s="1"/>
  <c r="AD96" i="2"/>
  <c r="AD99" i="2" s="1"/>
  <c r="AC96" i="2"/>
  <c r="AC99" i="2" s="1"/>
  <c r="Q96" i="2"/>
  <c r="U99" i="2" s="1"/>
  <c r="G96" i="2"/>
  <c r="G98" i="2" s="1"/>
  <c r="AH23" i="2"/>
  <c r="AF23" i="2"/>
  <c r="AE23" i="2"/>
  <c r="AC23" i="2"/>
  <c r="Y23" i="2"/>
  <c r="S23" i="2"/>
  <c r="Q23" i="2"/>
  <c r="H23" i="2"/>
  <c r="E23" i="2"/>
  <c r="AH22" i="2"/>
  <c r="AF22" i="2"/>
  <c r="AE22" i="2"/>
  <c r="AC22" i="2"/>
  <c r="Y22" i="2"/>
  <c r="S22" i="2"/>
  <c r="Q22" i="2"/>
  <c r="N22" i="2" s="1"/>
  <c r="H22" i="2"/>
  <c r="E22" i="2"/>
  <c r="AH21" i="2"/>
  <c r="AF21" i="2"/>
  <c r="AE21" i="2"/>
  <c r="AA21" i="2"/>
  <c r="Y21" i="2"/>
  <c r="S21" i="2"/>
  <c r="Q21" i="2"/>
  <c r="H21" i="2"/>
  <c r="E21" i="2"/>
  <c r="AH20" i="2"/>
  <c r="AG20" i="2"/>
  <c r="AF20" i="2"/>
  <c r="U20" i="2"/>
  <c r="Q20" i="2"/>
  <c r="N20" i="2" s="1"/>
  <c r="H20" i="2"/>
  <c r="AH19" i="2"/>
  <c r="AG19" i="2"/>
  <c r="AF19" i="2"/>
  <c r="AE19" i="2"/>
  <c r="AD19" i="2"/>
  <c r="AC19" i="2"/>
  <c r="U19" i="2"/>
  <c r="Q19" i="2"/>
  <c r="N19" i="2" s="1"/>
  <c r="H19" i="2"/>
  <c r="G19" i="2"/>
  <c r="H16" i="2"/>
  <c r="H15" i="2" s="1"/>
  <c r="AJ11" i="2"/>
  <c r="AI11" i="2"/>
  <c r="AH11" i="2"/>
  <c r="AG11" i="2"/>
  <c r="AF11" i="2"/>
  <c r="AE11" i="2"/>
  <c r="AD11" i="2"/>
  <c r="AC11" i="2"/>
  <c r="AB11" i="2"/>
  <c r="AA11" i="2"/>
  <c r="Z11" i="2"/>
  <c r="X11" i="2"/>
  <c r="W11" i="2"/>
  <c r="V11" i="2"/>
  <c r="T11" i="2"/>
  <c r="S11" i="2"/>
  <c r="H11" i="2"/>
  <c r="G11" i="2"/>
  <c r="F11" i="2"/>
  <c r="E11" i="2"/>
  <c r="AB10" i="2"/>
  <c r="AA10" i="2"/>
  <c r="Z10" i="2"/>
  <c r="Y10" i="2"/>
  <c r="X10" i="2"/>
  <c r="W10" i="2"/>
  <c r="V10" i="2"/>
  <c r="T10" i="2"/>
  <c r="S10" i="2"/>
  <c r="F10" i="2"/>
  <c r="E10" i="2"/>
  <c r="D10" i="2"/>
  <c r="C10" i="2"/>
  <c r="AJ9" i="2"/>
  <c r="AI9" i="2"/>
  <c r="AH9" i="2"/>
  <c r="AH47" i="2" s="1"/>
  <c r="AG9" i="2"/>
  <c r="AB9" i="2"/>
  <c r="AB90" i="2" s="1"/>
  <c r="AA9" i="2"/>
  <c r="AA90" i="2" s="1"/>
  <c r="Z9" i="2"/>
  <c r="Z90" i="2" s="1"/>
  <c r="Y9" i="2"/>
  <c r="Y90" i="2" s="1"/>
  <c r="X9" i="2"/>
  <c r="X90" i="2" s="1"/>
  <c r="W9" i="2"/>
  <c r="V9" i="2"/>
  <c r="V90" i="2" s="1"/>
  <c r="T9" i="2"/>
  <c r="T90" i="2" s="1"/>
  <c r="S9" i="2"/>
  <c r="S90" i="2" s="1"/>
  <c r="R9" i="2"/>
  <c r="R90" i="2" s="1"/>
  <c r="P9" i="2"/>
  <c r="P90" i="2" s="1"/>
  <c r="O9" i="2"/>
  <c r="O90" i="2" s="1"/>
  <c r="H9" i="2"/>
  <c r="H47" i="2" s="1"/>
  <c r="F9" i="2"/>
  <c r="F90" i="2" s="1"/>
  <c r="E9" i="2"/>
  <c r="E90" i="2" s="1"/>
  <c r="D9" i="2"/>
  <c r="D90" i="2" s="1"/>
  <c r="U8" i="2"/>
  <c r="Q8" i="2"/>
  <c r="N8" i="2" s="1"/>
  <c r="R11" i="2" s="1"/>
  <c r="C8" i="2"/>
  <c r="B8" i="2"/>
  <c r="B17" i="2" s="1"/>
  <c r="B15" i="2" s="1"/>
  <c r="AF7" i="2"/>
  <c r="AF126" i="2" s="1"/>
  <c r="AE7" i="2"/>
  <c r="AE126" i="2" s="1"/>
  <c r="AD7" i="2"/>
  <c r="AD126" i="2" s="1"/>
  <c r="AC7" i="2"/>
  <c r="Q7" i="2"/>
  <c r="Q185" i="2" s="1"/>
  <c r="G7" i="2"/>
  <c r="D172" i="2"/>
  <c r="E172" i="2"/>
  <c r="F172" i="2"/>
  <c r="G172" i="2"/>
  <c r="H172" i="2"/>
  <c r="C172" i="2"/>
  <c r="AH78" i="2"/>
  <c r="AE78" i="2"/>
  <c r="AJ213" i="2"/>
  <c r="AI213" i="2"/>
  <c r="AH213" i="2"/>
  <c r="AF213" i="2"/>
  <c r="AE213" i="2"/>
  <c r="AJ211" i="2"/>
  <c r="AI211" i="2"/>
  <c r="Y211" i="2"/>
  <c r="U211" i="2"/>
  <c r="T211" i="2"/>
  <c r="R211" i="2"/>
  <c r="Q211" i="2"/>
  <c r="P211" i="2"/>
  <c r="O211" i="2"/>
  <c r="N211" i="2"/>
  <c r="H211" i="2"/>
  <c r="G211" i="2"/>
  <c r="F211" i="2"/>
  <c r="E211" i="2"/>
  <c r="D211" i="2"/>
  <c r="C211" i="2"/>
  <c r="AD210" i="2"/>
  <c r="AH211" i="2" s="1"/>
  <c r="AJ208" i="2"/>
  <c r="AI208" i="2"/>
  <c r="S197" i="2"/>
  <c r="R197" i="2"/>
  <c r="AB196" i="2"/>
  <c r="AA196" i="2"/>
  <c r="Z196" i="2"/>
  <c r="Y196" i="2"/>
  <c r="X196" i="2"/>
  <c r="W196" i="2"/>
  <c r="V196" i="2"/>
  <c r="U196" i="2"/>
  <c r="T196" i="2"/>
  <c r="V194" i="2"/>
  <c r="T194" i="2"/>
  <c r="S194" i="2"/>
  <c r="R194" i="2"/>
  <c r="F189" i="2"/>
  <c r="E189" i="2"/>
  <c r="AB188" i="2"/>
  <c r="AA188" i="2"/>
  <c r="Z188" i="2"/>
  <c r="Y188" i="2"/>
  <c r="X188" i="2"/>
  <c r="H188" i="2"/>
  <c r="G188" i="2"/>
  <c r="F188" i="2"/>
  <c r="E188" i="2"/>
  <c r="AJ187" i="2"/>
  <c r="AI187" i="2"/>
  <c r="AJ186" i="2"/>
  <c r="AJ179" i="2" s="1"/>
  <c r="AI186" i="2"/>
  <c r="V186" i="2"/>
  <c r="T186" i="2"/>
  <c r="E186" i="2"/>
  <c r="Z198" i="2"/>
  <c r="X198" i="2"/>
  <c r="W198" i="2"/>
  <c r="H185" i="2"/>
  <c r="F185" i="2"/>
  <c r="E185" i="2"/>
  <c r="D185" i="2"/>
  <c r="Q184" i="2"/>
  <c r="G184" i="2"/>
  <c r="G185" i="2" s="1"/>
  <c r="AJ183" i="2"/>
  <c r="AI183" i="2"/>
  <c r="AH183" i="2"/>
  <c r="AG183" i="2"/>
  <c r="AF183" i="2"/>
  <c r="AF188" i="2" s="1"/>
  <c r="AE183" i="2"/>
  <c r="AC183" i="2"/>
  <c r="AD182" i="2"/>
  <c r="AH187" i="2" s="1"/>
  <c r="AB182" i="2"/>
  <c r="AB181" i="2" s="1"/>
  <c r="AA182" i="2"/>
  <c r="W182" i="2" s="1"/>
  <c r="Z182" i="2"/>
  <c r="V182" i="2"/>
  <c r="T182" i="2"/>
  <c r="T195" i="2" s="1"/>
  <c r="E182" i="2"/>
  <c r="D182" i="2"/>
  <c r="AD181" i="2"/>
  <c r="Y181" i="2"/>
  <c r="U181" i="2"/>
  <c r="U182" i="2" s="1"/>
  <c r="Q181" i="2"/>
  <c r="AC178" i="2"/>
  <c r="AC192" i="2" s="1"/>
  <c r="Q178" i="2"/>
  <c r="Q192" i="2" s="1"/>
  <c r="P178" i="2"/>
  <c r="P192" i="2" s="1"/>
  <c r="O178" i="2"/>
  <c r="O192" i="2" s="1"/>
  <c r="N178" i="2"/>
  <c r="N192" i="2" s="1"/>
  <c r="E178" i="2"/>
  <c r="D178" i="2"/>
  <c r="C178" i="2"/>
  <c r="B178" i="2"/>
  <c r="AG176" i="2"/>
  <c r="U176" i="2"/>
  <c r="T176" i="2"/>
  <c r="S176" i="2"/>
  <c r="R176" i="2"/>
  <c r="Q176" i="2"/>
  <c r="P176" i="2"/>
  <c r="O176" i="2"/>
  <c r="N176" i="2"/>
  <c r="H176" i="2"/>
  <c r="G176" i="2"/>
  <c r="F176" i="2"/>
  <c r="E176" i="2"/>
  <c r="D176" i="2"/>
  <c r="C176" i="2"/>
  <c r="AB175" i="2"/>
  <c r="AF176" i="2" s="1"/>
  <c r="AA175" i="2"/>
  <c r="Z175" i="2"/>
  <c r="Y175" i="2"/>
  <c r="X175" i="2"/>
  <c r="W175" i="2"/>
  <c r="V175" i="2"/>
  <c r="G277" i="2"/>
  <c r="E277" i="2"/>
  <c r="D277" i="2"/>
  <c r="C277" i="2"/>
  <c r="B277" i="2"/>
  <c r="H276" i="2"/>
  <c r="H274" i="2"/>
  <c r="E273" i="2"/>
  <c r="D273" i="2"/>
  <c r="C273" i="2"/>
  <c r="B273" i="2"/>
  <c r="H272" i="2"/>
  <c r="G272" i="2"/>
  <c r="F272" i="2"/>
  <c r="H271" i="2"/>
  <c r="G271" i="2"/>
  <c r="F271" i="2"/>
  <c r="H269" i="2"/>
  <c r="G268" i="2"/>
  <c r="F268" i="2"/>
  <c r="E268" i="2"/>
  <c r="D268" i="2"/>
  <c r="C268" i="2"/>
  <c r="B268" i="2"/>
  <c r="H266" i="2"/>
  <c r="H264" i="2"/>
  <c r="F264" i="2"/>
  <c r="H262" i="2"/>
  <c r="G262" i="2"/>
  <c r="F262" i="2"/>
  <c r="E262" i="2"/>
  <c r="D262" i="2"/>
  <c r="C262" i="2"/>
  <c r="B262" i="2"/>
  <c r="H261" i="2"/>
  <c r="G261" i="2"/>
  <c r="F261" i="2"/>
  <c r="E261" i="2"/>
  <c r="D261" i="2"/>
  <c r="C261" i="2"/>
  <c r="B261" i="2"/>
  <c r="H260" i="2"/>
  <c r="AJ254" i="2"/>
  <c r="C252" i="2"/>
  <c r="AJ249" i="2"/>
  <c r="AI249" i="2"/>
  <c r="AH249" i="2"/>
  <c r="AG249" i="2"/>
  <c r="AF249" i="2"/>
  <c r="AE249" i="2"/>
  <c r="AD249" i="2"/>
  <c r="AC249" i="2"/>
  <c r="AB249" i="2"/>
  <c r="AA249" i="2"/>
  <c r="Z249" i="2"/>
  <c r="Y249" i="2"/>
  <c r="X249" i="2"/>
  <c r="W249" i="2"/>
  <c r="V249" i="2"/>
  <c r="U249" i="2"/>
  <c r="T249" i="2"/>
  <c r="S249" i="2"/>
  <c r="H249" i="2"/>
  <c r="G249" i="2"/>
  <c r="F249" i="2"/>
  <c r="E249" i="2"/>
  <c r="Q247" i="2"/>
  <c r="Q249" i="2" s="1"/>
  <c r="D247" i="2"/>
  <c r="D249" i="2" s="1"/>
  <c r="C247" i="2"/>
  <c r="C249" i="2" s="1"/>
  <c r="B247" i="2"/>
  <c r="B249" i="2" s="1"/>
  <c r="AJ244" i="2"/>
  <c r="AJ243" i="2" s="1"/>
  <c r="AI244" i="2"/>
  <c r="AI243" i="2" s="1"/>
  <c r="AH244" i="2"/>
  <c r="AH243" i="2" s="1"/>
  <c r="AG244" i="2"/>
  <c r="AG243" i="2" s="1"/>
  <c r="AF244" i="2"/>
  <c r="AF243" i="2" s="1"/>
  <c r="AE244" i="2"/>
  <c r="AE243" i="2" s="1"/>
  <c r="AD244" i="2"/>
  <c r="AD243" i="2" s="1"/>
  <c r="AC244" i="2"/>
  <c r="AC243" i="2" s="1"/>
  <c r="AB244" i="2"/>
  <c r="AB243" i="2" s="1"/>
  <c r="AA244" i="2"/>
  <c r="AA243" i="2" s="1"/>
  <c r="Z244" i="2"/>
  <c r="Z243" i="2" s="1"/>
  <c r="Y244" i="2"/>
  <c r="Y243" i="2" s="1"/>
  <c r="X244" i="2"/>
  <c r="X243" i="2" s="1"/>
  <c r="W244" i="2"/>
  <c r="W243" i="2" s="1"/>
  <c r="V244" i="2"/>
  <c r="V243" i="2" s="1"/>
  <c r="U244" i="2"/>
  <c r="U243" i="2" s="1"/>
  <c r="T244" i="2"/>
  <c r="T243" i="2" s="1"/>
  <c r="S244" i="2"/>
  <c r="S243" i="2" s="1"/>
  <c r="Q244" i="2"/>
  <c r="Q243" i="2" s="1"/>
  <c r="H244" i="2"/>
  <c r="H243" i="2" s="1"/>
  <c r="G244" i="2"/>
  <c r="G243" i="2" s="1"/>
  <c r="F244" i="2"/>
  <c r="F243" i="2" s="1"/>
  <c r="E244" i="2"/>
  <c r="E243" i="2" s="1"/>
  <c r="D244" i="2"/>
  <c r="D243" i="2" s="1"/>
  <c r="C244" i="2"/>
  <c r="C243" i="2" s="1"/>
  <c r="B244" i="2"/>
  <c r="B243" i="2" s="1"/>
  <c r="AJ238" i="2"/>
  <c r="U236" i="2"/>
  <c r="E236" i="2"/>
  <c r="AI235" i="2"/>
  <c r="AH235" i="2"/>
  <c r="AH238" i="2" s="1"/>
  <c r="AG235" i="2"/>
  <c r="AF235" i="2"/>
  <c r="AE235" i="2"/>
  <c r="AE254" i="2" s="1"/>
  <c r="AD235" i="2"/>
  <c r="AD254" i="2" s="1"/>
  <c r="AC235" i="2"/>
  <c r="AC254" i="2" s="1"/>
  <c r="AB235" i="2"/>
  <c r="AA235" i="2"/>
  <c r="AA254" i="2" s="1"/>
  <c r="Z235" i="2"/>
  <c r="Y235" i="2"/>
  <c r="Y254" i="2" s="1"/>
  <c r="X235" i="2"/>
  <c r="X254" i="2" s="1"/>
  <c r="W235" i="2"/>
  <c r="W254" i="2" s="1"/>
  <c r="V235" i="2"/>
  <c r="V254" i="2" s="1"/>
  <c r="U235" i="2"/>
  <c r="T235" i="2"/>
  <c r="S235" i="2"/>
  <c r="S254" i="2" s="1"/>
  <c r="Q235" i="2"/>
  <c r="Q254" i="2" s="1"/>
  <c r="H235" i="2"/>
  <c r="H238" i="2" s="1"/>
  <c r="G235" i="2"/>
  <c r="F235" i="2"/>
  <c r="F238" i="2" s="1"/>
  <c r="E235" i="2"/>
  <c r="E254" i="2" s="1"/>
  <c r="D235" i="2"/>
  <c r="C235" i="2"/>
  <c r="C254" i="2" s="1"/>
  <c r="B235" i="2"/>
  <c r="B238" i="2" s="1"/>
  <c r="AB234" i="2"/>
  <c r="AA234" i="2"/>
  <c r="AA40" i="2" s="1"/>
  <c r="X234" i="2"/>
  <c r="W234" i="2"/>
  <c r="V234" i="2"/>
  <c r="U234" i="2"/>
  <c r="E234" i="2"/>
  <c r="F40" i="2" s="1"/>
  <c r="AJ232" i="2"/>
  <c r="AI232" i="2"/>
  <c r="AH232" i="2"/>
  <c r="AG232" i="2"/>
  <c r="AF232" i="2"/>
  <c r="AE232" i="2"/>
  <c r="AD232" i="2"/>
  <c r="AC232" i="2"/>
  <c r="AB232" i="2"/>
  <c r="AA232" i="2"/>
  <c r="Z232" i="2"/>
  <c r="Y232" i="2"/>
  <c r="X232" i="2"/>
  <c r="W232" i="2"/>
  <c r="V232" i="2"/>
  <c r="U232" i="2"/>
  <c r="T232" i="2"/>
  <c r="S232" i="2"/>
  <c r="Q232" i="2"/>
  <c r="H232" i="2"/>
  <c r="G232" i="2"/>
  <c r="F232" i="2"/>
  <c r="E232" i="2"/>
  <c r="D232" i="2"/>
  <c r="C232" i="2"/>
  <c r="B232" i="2"/>
  <c r="AJ230" i="2"/>
  <c r="AI230" i="2"/>
  <c r="AH230" i="2"/>
  <c r="AG230" i="2"/>
  <c r="H230" i="2"/>
  <c r="AF228" i="2"/>
  <c r="AF230" i="2" s="1"/>
  <c r="AE228" i="2"/>
  <c r="AE230" i="2" s="1"/>
  <c r="AD228" i="2"/>
  <c r="AD230" i="2" s="1"/>
  <c r="AC228" i="2"/>
  <c r="AC230" i="2" s="1"/>
  <c r="AB228" i="2"/>
  <c r="AB230" i="2" s="1"/>
  <c r="AA228" i="2"/>
  <c r="AA230" i="2" s="1"/>
  <c r="Z228" i="2"/>
  <c r="Z230" i="2" s="1"/>
  <c r="Y228" i="2"/>
  <c r="Y230" i="2" s="1"/>
  <c r="X228" i="2"/>
  <c r="X230" i="2" s="1"/>
  <c r="W228" i="2"/>
  <c r="W230" i="2" s="1"/>
  <c r="V228" i="2"/>
  <c r="V230" i="2" s="1"/>
  <c r="U228" i="2"/>
  <c r="U230" i="2" s="1"/>
  <c r="T228" i="2"/>
  <c r="T230" i="2" s="1"/>
  <c r="S228" i="2"/>
  <c r="S230" i="2" s="1"/>
  <c r="Q228" i="2"/>
  <c r="Q230" i="2" s="1"/>
  <c r="G228" i="2"/>
  <c r="G230" i="2" s="1"/>
  <c r="F228" i="2"/>
  <c r="F230" i="2" s="1"/>
  <c r="E228" i="2"/>
  <c r="E230" i="2" s="1"/>
  <c r="D228" i="2"/>
  <c r="D230" i="2" s="1"/>
  <c r="C228" i="2"/>
  <c r="C230" i="2" s="1"/>
  <c r="B228" i="2"/>
  <c r="B230" i="2" s="1"/>
  <c r="C225" i="2"/>
  <c r="AE221" i="2"/>
  <c r="AJ220" i="2"/>
  <c r="AJ225" i="2" s="1"/>
  <c r="AI220" i="2"/>
  <c r="AI225" i="2" s="1"/>
  <c r="AH220" i="2"/>
  <c r="AG220" i="2"/>
  <c r="AF220" i="2"/>
  <c r="AE220" i="2"/>
  <c r="AD220" i="2"/>
  <c r="AC220" i="2"/>
  <c r="AB220" i="2"/>
  <c r="AA220" i="2"/>
  <c r="AA225" i="2" s="1"/>
  <c r="Z220" i="2"/>
  <c r="Z225" i="2" s="1"/>
  <c r="Y220" i="2"/>
  <c r="X220" i="2"/>
  <c r="W220" i="2"/>
  <c r="W225" i="2" s="1"/>
  <c r="V220" i="2"/>
  <c r="U220" i="2"/>
  <c r="U225" i="2" s="1"/>
  <c r="T220" i="2"/>
  <c r="T252" i="2" s="1"/>
  <c r="S220" i="2"/>
  <c r="Q220" i="2"/>
  <c r="Q225" i="2" s="1"/>
  <c r="H220" i="2"/>
  <c r="G220" i="2"/>
  <c r="F220" i="2"/>
  <c r="F252" i="2" s="1"/>
  <c r="E220" i="2"/>
  <c r="D220" i="2"/>
  <c r="D252" i="2" s="1"/>
  <c r="B220" i="2"/>
  <c r="Z131" i="2"/>
  <c r="Z128" i="2" s="1"/>
  <c r="Y131" i="2"/>
  <c r="Y128" i="2" s="1"/>
  <c r="Y103" i="2" s="1"/>
  <c r="X131" i="2"/>
  <c r="X128" i="2" s="1"/>
  <c r="X103" i="2" s="1"/>
  <c r="W131" i="2"/>
  <c r="W128" i="2" s="1"/>
  <c r="W103" i="2" s="1"/>
  <c r="V131" i="2"/>
  <c r="V128" i="2" s="1"/>
  <c r="V103" i="2" s="1"/>
  <c r="S131" i="2"/>
  <c r="S128" i="2" s="1"/>
  <c r="D131" i="2"/>
  <c r="C131" i="2"/>
  <c r="AG46" i="2"/>
  <c r="AC46" i="2"/>
  <c r="Y46" i="2"/>
  <c r="U46" i="2"/>
  <c r="Q46" i="2"/>
  <c r="AJ43" i="2"/>
  <c r="B60" i="3" s="1"/>
  <c r="AI43" i="2"/>
  <c r="AH43" i="2"/>
  <c r="AG43" i="2"/>
  <c r="AF43" i="2"/>
  <c r="AE43" i="2"/>
  <c r="AD43" i="2"/>
  <c r="AC43" i="2"/>
  <c r="AB43" i="2"/>
  <c r="AA43" i="2"/>
  <c r="Z43" i="2"/>
  <c r="Y43" i="2"/>
  <c r="Y44" i="2" s="1"/>
  <c r="X43" i="2"/>
  <c r="X44" i="2" s="1"/>
  <c r="W43" i="2"/>
  <c r="W44" i="2" s="1"/>
  <c r="V43" i="2"/>
  <c r="H43" i="2"/>
  <c r="G43" i="2"/>
  <c r="F43" i="2"/>
  <c r="AD40" i="2"/>
  <c r="Z40" i="2"/>
  <c r="T40" i="2"/>
  <c r="S40" i="2"/>
  <c r="G40" i="2"/>
  <c r="C40" i="2"/>
  <c r="B40" i="2"/>
  <c r="AC36" i="2"/>
  <c r="Y36" i="2"/>
  <c r="S36" i="2"/>
  <c r="Q36" i="2"/>
  <c r="N36" i="2" s="1"/>
  <c r="H36" i="2"/>
  <c r="E36" i="2"/>
  <c r="AG31" i="2"/>
  <c r="AC31" i="2"/>
  <c r="Y31" i="2"/>
  <c r="U31" i="2"/>
  <c r="Q31" i="2"/>
  <c r="N31" i="2" s="1"/>
  <c r="AH29" i="2"/>
  <c r="AG29" i="2"/>
  <c r="AC29" i="2"/>
  <c r="Y29" i="2"/>
  <c r="U29" i="2"/>
  <c r="Q29" i="2"/>
  <c r="N29" i="2" s="1"/>
  <c r="AE28" i="2"/>
  <c r="AC28" i="2"/>
  <c r="Y28" i="2"/>
  <c r="U28" i="2"/>
  <c r="Q28" i="2"/>
  <c r="N28" i="2" s="1"/>
  <c r="H28" i="2"/>
  <c r="AG27" i="2"/>
  <c r="Z27" i="2"/>
  <c r="W27" i="2"/>
  <c r="V27" i="2"/>
  <c r="U27" i="2"/>
  <c r="D27" i="2"/>
  <c r="C27" i="2"/>
  <c r="B27" i="2"/>
  <c r="E78" i="2" l="1"/>
  <c r="E192" i="2"/>
  <c r="B78" i="2"/>
  <c r="B192" i="2"/>
  <c r="C78" i="2"/>
  <c r="C192" i="2"/>
  <c r="D78" i="2"/>
  <c r="D192" i="2"/>
  <c r="E87" i="2"/>
  <c r="F87" i="2"/>
  <c r="F91" i="2" s="1"/>
  <c r="D87" i="2"/>
  <c r="D89" i="2" s="1"/>
  <c r="G87" i="2"/>
  <c r="G89" i="2" s="1"/>
  <c r="E89" i="2"/>
  <c r="E91" i="2"/>
  <c r="H90" i="2"/>
  <c r="F89" i="2"/>
  <c r="E47" i="2"/>
  <c r="S47" i="2"/>
  <c r="AA47" i="2"/>
  <c r="AJ140" i="2"/>
  <c r="E135" i="2"/>
  <c r="E152" i="2" s="1"/>
  <c r="AH140" i="2"/>
  <c r="AH156" i="2" s="1"/>
  <c r="H135" i="2"/>
  <c r="H152" i="2" s="1"/>
  <c r="AI140" i="2"/>
  <c r="F277" i="2"/>
  <c r="F63" i="2"/>
  <c r="H63" i="2"/>
  <c r="B31" i="3"/>
  <c r="B68" i="3" s="1"/>
  <c r="B53" i="3"/>
  <c r="B70" i="3" s="1"/>
  <c r="C53" i="3"/>
  <c r="C70" i="3" s="1"/>
  <c r="D31" i="3"/>
  <c r="D68" i="3" s="1"/>
  <c r="C31" i="3"/>
  <c r="C68" i="3" s="1"/>
  <c r="D53" i="3"/>
  <c r="D70" i="3" s="1"/>
  <c r="S255" i="2"/>
  <c r="V255" i="2"/>
  <c r="W255" i="2"/>
  <c r="C205" i="2"/>
  <c r="C203" i="2" s="1"/>
  <c r="C207" i="2" s="1"/>
  <c r="C17" i="2"/>
  <c r="C15" i="2" s="1"/>
  <c r="H75" i="2"/>
  <c r="AF73" i="2"/>
  <c r="AE73" i="2"/>
  <c r="AG73" i="2"/>
  <c r="AD73" i="2"/>
  <c r="Y255" i="2"/>
  <c r="X255" i="2"/>
  <c r="AJ24" i="2"/>
  <c r="AJ47" i="2"/>
  <c r="Q57" i="2"/>
  <c r="O24" i="2"/>
  <c r="O47" i="2"/>
  <c r="P24" i="2"/>
  <c r="P47" i="2"/>
  <c r="AC57" i="2"/>
  <c r="AG57" i="2"/>
  <c r="AG47" i="2"/>
  <c r="R24" i="2"/>
  <c r="R47" i="2"/>
  <c r="F24" i="2"/>
  <c r="F47" i="2"/>
  <c r="V24" i="2"/>
  <c r="V25" i="2" s="1"/>
  <c r="V47" i="2"/>
  <c r="D24" i="2"/>
  <c r="D25" i="2" s="1"/>
  <c r="D47" i="2"/>
  <c r="W24" i="2"/>
  <c r="W25" i="2" s="1"/>
  <c r="W47" i="2"/>
  <c r="AI24" i="2"/>
  <c r="AI47" i="2"/>
  <c r="X24" i="2"/>
  <c r="X47" i="2"/>
  <c r="Z24" i="2"/>
  <c r="Z25" i="2" s="1"/>
  <c r="Z47" i="2"/>
  <c r="U57" i="2"/>
  <c r="AB24" i="2"/>
  <c r="AB47" i="2"/>
  <c r="Y57" i="2"/>
  <c r="Y47" i="2"/>
  <c r="T24" i="2"/>
  <c r="T47" i="2"/>
  <c r="AA255" i="2"/>
  <c r="AJ255" i="2"/>
  <c r="E255" i="2"/>
  <c r="B9" i="2"/>
  <c r="B205" i="2"/>
  <c r="B203" i="2" s="1"/>
  <c r="B207" i="2" s="1"/>
  <c r="AE40" i="2"/>
  <c r="AG134" i="2"/>
  <c r="AG151" i="2" s="1"/>
  <c r="U134" i="2"/>
  <c r="U151" i="2" s="1"/>
  <c r="Z52" i="2"/>
  <c r="AI72" i="2"/>
  <c r="AI86" i="2" s="1"/>
  <c r="G133" i="2"/>
  <c r="AH83" i="2"/>
  <c r="AH53" i="2"/>
  <c r="AJ83" i="2"/>
  <c r="AJ53" i="2"/>
  <c r="AI83" i="2"/>
  <c r="AI53" i="2"/>
  <c r="E150" i="2"/>
  <c r="D133" i="2"/>
  <c r="F133" i="2"/>
  <c r="H139" i="2"/>
  <c r="H51" i="2"/>
  <c r="Y106" i="2"/>
  <c r="W106" i="2"/>
  <c r="X106" i="2"/>
  <c r="E128" i="2"/>
  <c r="E131" i="2" s="1"/>
  <c r="S129" i="2"/>
  <c r="V106" i="2"/>
  <c r="F128" i="2"/>
  <c r="F131" i="2" s="1"/>
  <c r="C128" i="2"/>
  <c r="AC185" i="2"/>
  <c r="AC126" i="2"/>
  <c r="D128" i="2"/>
  <c r="D103" i="2" s="1"/>
  <c r="D106" i="2" s="1"/>
  <c r="U9" i="2"/>
  <c r="U90" i="2" s="1"/>
  <c r="U145" i="2"/>
  <c r="AI128" i="2"/>
  <c r="AI103" i="2" s="1"/>
  <c r="AI106" i="2" s="1"/>
  <c r="AC179" i="2"/>
  <c r="R179" i="2"/>
  <c r="P194" i="2"/>
  <c r="T179" i="2"/>
  <c r="U179" i="2"/>
  <c r="E197" i="2"/>
  <c r="E179" i="2"/>
  <c r="F179" i="2"/>
  <c r="C179" i="2"/>
  <c r="D194" i="2"/>
  <c r="D179" i="2"/>
  <c r="S179" i="2"/>
  <c r="AH10" i="2"/>
  <c r="AD185" i="2"/>
  <c r="AI10" i="2"/>
  <c r="AE185" i="2"/>
  <c r="AJ10" i="2"/>
  <c r="AF185" i="2"/>
  <c r="N21" i="2"/>
  <c r="H10" i="2"/>
  <c r="G126" i="2"/>
  <c r="C9" i="2"/>
  <c r="C145" i="2"/>
  <c r="AC51" i="2"/>
  <c r="S51" i="2"/>
  <c r="R51" i="2"/>
  <c r="T51" i="2"/>
  <c r="W51" i="2"/>
  <c r="H24" i="2"/>
  <c r="AA24" i="2"/>
  <c r="S24" i="2"/>
  <c r="AH24" i="2"/>
  <c r="E24" i="2"/>
  <c r="Y24" i="2"/>
  <c r="Y25" i="2" s="1"/>
  <c r="N96" i="2"/>
  <c r="R99" i="2" s="1"/>
  <c r="W101" i="2"/>
  <c r="AG99" i="2"/>
  <c r="Y101" i="2"/>
  <c r="U100" i="2"/>
  <c r="G99" i="2"/>
  <c r="H99" i="2"/>
  <c r="AA101" i="2"/>
  <c r="AC98" i="2"/>
  <c r="AC101" i="2" s="1"/>
  <c r="Z101" i="2"/>
  <c r="T101" i="2"/>
  <c r="V101" i="2"/>
  <c r="X101" i="2"/>
  <c r="AJ101" i="2"/>
  <c r="C98" i="2"/>
  <c r="D101" i="2" s="1"/>
  <c r="Y100" i="2"/>
  <c r="E101" i="2"/>
  <c r="F101" i="2"/>
  <c r="G101" i="2"/>
  <c r="H101" i="2"/>
  <c r="AF99" i="2"/>
  <c r="S101" i="2"/>
  <c r="AF101" i="2"/>
  <c r="AH99" i="2"/>
  <c r="AI99" i="2"/>
  <c r="AJ99" i="2"/>
  <c r="AD98" i="2"/>
  <c r="AH101" i="2" s="1"/>
  <c r="AE98" i="2"/>
  <c r="AI101" i="2" s="1"/>
  <c r="C100" i="2"/>
  <c r="AB101" i="2"/>
  <c r="Q98" i="2"/>
  <c r="U101" i="2" s="1"/>
  <c r="AG22" i="2"/>
  <c r="AE9" i="2"/>
  <c r="G9" i="2"/>
  <c r="G90" i="2" s="1"/>
  <c r="AE10" i="2"/>
  <c r="AD250" i="2"/>
  <c r="G10" i="2"/>
  <c r="S12" i="2"/>
  <c r="AF250" i="2"/>
  <c r="AG21" i="2"/>
  <c r="F12" i="2"/>
  <c r="U23" i="2"/>
  <c r="E12" i="2"/>
  <c r="Q9" i="2"/>
  <c r="AF9" i="2"/>
  <c r="X12" i="2"/>
  <c r="AF10" i="2"/>
  <c r="V12" i="2"/>
  <c r="N7" i="2"/>
  <c r="AG23" i="2"/>
  <c r="AC21" i="2"/>
  <c r="AC10" i="2"/>
  <c r="AC9" i="2"/>
  <c r="AC255" i="2" s="1"/>
  <c r="AG10" i="2"/>
  <c r="U22" i="2"/>
  <c r="C11" i="2"/>
  <c r="D11" i="2"/>
  <c r="W12" i="2"/>
  <c r="U11" i="2"/>
  <c r="Z12" i="2"/>
  <c r="AB12" i="2"/>
  <c r="Y11" i="2"/>
  <c r="T12" i="2"/>
  <c r="U10" i="2"/>
  <c r="U21" i="2"/>
  <c r="N23" i="2"/>
  <c r="AD10" i="2"/>
  <c r="AD9" i="2"/>
  <c r="AA12" i="2"/>
  <c r="J178" i="2"/>
  <c r="R127" i="2"/>
  <c r="H268" i="2"/>
  <c r="T127" i="2"/>
  <c r="G273" i="2"/>
  <c r="AI214" i="2"/>
  <c r="V40" i="2"/>
  <c r="X40" i="2"/>
  <c r="G44" i="2"/>
  <c r="S127" i="2"/>
  <c r="T225" i="2"/>
  <c r="Y40" i="2"/>
  <c r="W250" i="2"/>
  <c r="Y250" i="2"/>
  <c r="AA250" i="2"/>
  <c r="AC40" i="2"/>
  <c r="AD183" i="2"/>
  <c r="AD188" i="2" s="1"/>
  <c r="K178" i="2"/>
  <c r="AB250" i="2"/>
  <c r="L178" i="2"/>
  <c r="AC250" i="2"/>
  <c r="D198" i="2"/>
  <c r="C238" i="2"/>
  <c r="U194" i="2"/>
  <c r="AI195" i="2"/>
  <c r="AI250" i="2"/>
  <c r="P197" i="2"/>
  <c r="Y129" i="2"/>
  <c r="V127" i="2"/>
  <c r="V146" i="2" s="1"/>
  <c r="U252" i="2"/>
  <c r="AJ44" i="2"/>
  <c r="E195" i="2"/>
  <c r="W129" i="2"/>
  <c r="D195" i="2"/>
  <c r="X129" i="2"/>
  <c r="Q197" i="2"/>
  <c r="X252" i="2"/>
  <c r="H189" i="2"/>
  <c r="F44" i="2"/>
  <c r="V176" i="2"/>
  <c r="Q250" i="2"/>
  <c r="W176" i="2"/>
  <c r="Z252" i="2"/>
  <c r="X176" i="2"/>
  <c r="E250" i="2"/>
  <c r="AF39" i="2"/>
  <c r="F250" i="2"/>
  <c r="AI196" i="2"/>
  <c r="AJ214" i="2"/>
  <c r="D196" i="2"/>
  <c r="X182" i="2"/>
  <c r="X187" i="2" s="1"/>
  <c r="E196" i="2"/>
  <c r="Q252" i="2"/>
  <c r="F225" i="2"/>
  <c r="M178" i="2"/>
  <c r="AD187" i="2"/>
  <c r="AJ39" i="2"/>
  <c r="AI252" i="2"/>
  <c r="AJ252" i="2"/>
  <c r="H277" i="2"/>
  <c r="X190" i="2"/>
  <c r="Z190" i="2"/>
  <c r="AB190" i="2"/>
  <c r="AE176" i="2"/>
  <c r="U127" i="2"/>
  <c r="U146" i="2" s="1"/>
  <c r="AA39" i="2"/>
  <c r="X184" i="2"/>
  <c r="X197" i="2" s="1"/>
  <c r="AH186" i="2"/>
  <c r="AH179" i="2" s="1"/>
  <c r="T250" i="2"/>
  <c r="H39" i="2"/>
  <c r="Z181" i="2"/>
  <c r="Z186" i="2" s="1"/>
  <c r="AB176" i="2"/>
  <c r="AD39" i="2"/>
  <c r="AC238" i="2"/>
  <c r="AA181" i="2"/>
  <c r="AE186" i="2" s="1"/>
  <c r="AA184" i="2"/>
  <c r="AA197" i="2" s="1"/>
  <c r="G39" i="2"/>
  <c r="V250" i="2"/>
  <c r="Z176" i="2"/>
  <c r="Z250" i="2"/>
  <c r="AA176" i="2"/>
  <c r="AA190" i="2"/>
  <c r="AD176" i="2"/>
  <c r="W184" i="2"/>
  <c r="W197" i="2" s="1"/>
  <c r="Q238" i="2"/>
  <c r="Y184" i="2"/>
  <c r="Y197" i="2" s="1"/>
  <c r="S238" i="2"/>
  <c r="Z184" i="2"/>
  <c r="Z197" i="2" s="1"/>
  <c r="AE252" i="2"/>
  <c r="AD238" i="2"/>
  <c r="F273" i="2"/>
  <c r="AB184" i="2"/>
  <c r="E39" i="2"/>
  <c r="Y238" i="2"/>
  <c r="G250" i="2"/>
  <c r="AA238" i="2"/>
  <c r="D225" i="2"/>
  <c r="G225" i="2"/>
  <c r="X238" i="2"/>
  <c r="H225" i="2"/>
  <c r="X250" i="2"/>
  <c r="H250" i="2"/>
  <c r="F190" i="2"/>
  <c r="Z187" i="2"/>
  <c r="X225" i="2"/>
  <c r="G252" i="2"/>
  <c r="AE238" i="2"/>
  <c r="H252" i="2"/>
  <c r="AE187" i="2"/>
  <c r="Y198" i="2"/>
  <c r="AA198" i="2"/>
  <c r="AA44" i="2"/>
  <c r="X39" i="2"/>
  <c r="AC44" i="2"/>
  <c r="B250" i="2"/>
  <c r="AJ250" i="2"/>
  <c r="E194" i="2"/>
  <c r="AB39" i="2"/>
  <c r="B254" i="2"/>
  <c r="F254" i="2"/>
  <c r="F255" i="2" s="1"/>
  <c r="Z44" i="2"/>
  <c r="AB198" i="2"/>
  <c r="D250" i="2"/>
  <c r="F39" i="2"/>
  <c r="AG250" i="2"/>
  <c r="AG39" i="2"/>
  <c r="AD44" i="2"/>
  <c r="U40" i="2"/>
  <c r="AE39" i="2"/>
  <c r="AH254" i="2"/>
  <c r="AH255" i="2" s="1"/>
  <c r="AH250" i="2"/>
  <c r="AB44" i="2"/>
  <c r="W238" i="2"/>
  <c r="T184" i="2"/>
  <c r="G189" i="2"/>
  <c r="Y186" i="2"/>
  <c r="Y182" i="2"/>
  <c r="U36" i="2"/>
  <c r="B39" i="2"/>
  <c r="AG36" i="2"/>
  <c r="C39" i="2"/>
  <c r="D238" i="2"/>
  <c r="D254" i="2"/>
  <c r="D255" i="2" s="1"/>
  <c r="U190" i="2"/>
  <c r="AF238" i="2"/>
  <c r="AF254" i="2"/>
  <c r="B252" i="2"/>
  <c r="B225" i="2"/>
  <c r="AH225" i="2"/>
  <c r="AI39" i="2"/>
  <c r="AH39" i="2"/>
  <c r="AH252" i="2"/>
  <c r="AE44" i="2"/>
  <c r="Q27" i="2"/>
  <c r="U39" i="2"/>
  <c r="AG44" i="2"/>
  <c r="V39" i="2"/>
  <c r="Y27" i="2"/>
  <c r="AH44" i="2"/>
  <c r="AF44" i="2"/>
  <c r="AI44" i="2"/>
  <c r="AC27" i="2"/>
  <c r="Z39" i="2"/>
  <c r="V238" i="2"/>
  <c r="AE250" i="2"/>
  <c r="AG28" i="2"/>
  <c r="H40" i="2"/>
  <c r="H44" i="2"/>
  <c r="Z238" i="2"/>
  <c r="Z254" i="2"/>
  <c r="Z255" i="2" s="1"/>
  <c r="AB254" i="2"/>
  <c r="AB255" i="2" s="1"/>
  <c r="AB238" i="2"/>
  <c r="AB252" i="2"/>
  <c r="AB225" i="2"/>
  <c r="AD252" i="2"/>
  <c r="AD225" i="2"/>
  <c r="W40" i="2"/>
  <c r="W252" i="2"/>
  <c r="S198" i="2"/>
  <c r="S183" i="2"/>
  <c r="W190" i="2"/>
  <c r="D39" i="2"/>
  <c r="D213" i="2"/>
  <c r="AF252" i="2"/>
  <c r="AF225" i="2"/>
  <c r="AC252" i="2"/>
  <c r="AC225" i="2"/>
  <c r="Q194" i="2"/>
  <c r="AA252" i="2"/>
  <c r="AB40" i="2"/>
  <c r="AG254" i="2"/>
  <c r="AG255" i="2" s="1"/>
  <c r="AG238" i="2"/>
  <c r="V225" i="2"/>
  <c r="V252" i="2"/>
  <c r="H254" i="2"/>
  <c r="H255" i="2" s="1"/>
  <c r="W39" i="2"/>
  <c r="AH184" i="2"/>
  <c r="Y252" i="2"/>
  <c r="Y225" i="2"/>
  <c r="AI184" i="2"/>
  <c r="AI198" i="2"/>
  <c r="N46" i="2"/>
  <c r="E225" i="2"/>
  <c r="AJ184" i="2"/>
  <c r="U250" i="2"/>
  <c r="G238" i="2"/>
  <c r="G254" i="2"/>
  <c r="AI238" i="2"/>
  <c r="AI254" i="2"/>
  <c r="AI255" i="2" s="1"/>
  <c r="E198" i="2"/>
  <c r="E190" i="2"/>
  <c r="AC176" i="2"/>
  <c r="Y176" i="2"/>
  <c r="S225" i="2"/>
  <c r="S39" i="2"/>
  <c r="AE225" i="2"/>
  <c r="C250" i="2"/>
  <c r="AI188" i="2"/>
  <c r="P183" i="2"/>
  <c r="P198" i="2"/>
  <c r="T39" i="2"/>
  <c r="E252" i="2"/>
  <c r="E238" i="2"/>
  <c r="E40" i="2"/>
  <c r="T254" i="2"/>
  <c r="T255" i="2" s="1"/>
  <c r="T238" i="2"/>
  <c r="AJ188" i="2"/>
  <c r="R198" i="2"/>
  <c r="R183" i="2"/>
  <c r="AB194" i="2"/>
  <c r="AF186" i="2"/>
  <c r="H190" i="2"/>
  <c r="G190" i="2"/>
  <c r="U195" i="2"/>
  <c r="U184" i="2"/>
  <c r="U198" i="2"/>
  <c r="T190" i="2"/>
  <c r="H273" i="2"/>
  <c r="V195" i="2"/>
  <c r="V190" i="2"/>
  <c r="W195" i="2"/>
  <c r="W181" i="2"/>
  <c r="Y190" i="2"/>
  <c r="T198" i="2"/>
  <c r="AG252" i="2"/>
  <c r="AG225" i="2"/>
  <c r="U254" i="2"/>
  <c r="U238" i="2"/>
  <c r="S250" i="2"/>
  <c r="U186" i="2"/>
  <c r="AF187" i="2"/>
  <c r="AG210" i="2"/>
  <c r="C34" i="3" s="1"/>
  <c r="AC188" i="2"/>
  <c r="AC196" i="2"/>
  <c r="AE188" i="2"/>
  <c r="AG188" i="2"/>
  <c r="AG184" i="2"/>
  <c r="AC182" i="2"/>
  <c r="AC181" i="2" s="1"/>
  <c r="D197" i="2"/>
  <c r="V198" i="2"/>
  <c r="AD178" i="2"/>
  <c r="AD192" i="2" s="1"/>
  <c r="E187" i="2"/>
  <c r="V184" i="2"/>
  <c r="P179" i="2" l="1"/>
  <c r="L192" i="2"/>
  <c r="O179" i="2"/>
  <c r="K192" i="2"/>
  <c r="Q179" i="2"/>
  <c r="M192" i="2"/>
  <c r="N179" i="2"/>
  <c r="J192" i="2"/>
  <c r="D91" i="2"/>
  <c r="G91" i="2"/>
  <c r="B90" i="2"/>
  <c r="B91" i="2"/>
  <c r="AI90" i="2"/>
  <c r="C90" i="2"/>
  <c r="C91" i="2"/>
  <c r="Q24" i="2"/>
  <c r="Q25" i="2" s="1"/>
  <c r="Q90" i="2"/>
  <c r="H87" i="2"/>
  <c r="B24" i="2"/>
  <c r="B25" i="2" s="1"/>
  <c r="Y12" i="2"/>
  <c r="AJ135" i="2"/>
  <c r="AJ152" i="2" s="1"/>
  <c r="AH135" i="2"/>
  <c r="AH152" i="2" s="1"/>
  <c r="AI135" i="2"/>
  <c r="AI152" i="2" s="1"/>
  <c r="H150" i="2"/>
  <c r="C36" i="3"/>
  <c r="C40" i="3" s="1"/>
  <c r="C42" i="3" s="1"/>
  <c r="C46" i="3" s="1"/>
  <c r="C48" i="3" s="1"/>
  <c r="D34" i="3"/>
  <c r="D36" i="3" s="1"/>
  <c r="D40" i="3" s="1"/>
  <c r="D42" i="3" s="1"/>
  <c r="D46" i="3" s="1"/>
  <c r="D48" i="3" s="1"/>
  <c r="B34" i="3"/>
  <c r="B36" i="3" s="1"/>
  <c r="B40" i="3" s="1"/>
  <c r="B42" i="3" s="1"/>
  <c r="B46" i="3" s="1"/>
  <c r="B48" i="3" s="1"/>
  <c r="G255" i="2"/>
  <c r="B255" i="2"/>
  <c r="AC47" i="2"/>
  <c r="R30" i="2"/>
  <c r="R25" i="2"/>
  <c r="E30" i="2"/>
  <c r="E25" i="2"/>
  <c r="C24" i="2"/>
  <c r="C30" i="2" s="1"/>
  <c r="C47" i="2"/>
  <c r="AH30" i="2"/>
  <c r="AH25" i="2"/>
  <c r="AA30" i="2"/>
  <c r="AA25" i="2"/>
  <c r="U47" i="2"/>
  <c r="F30" i="2"/>
  <c r="F25" i="2"/>
  <c r="S30" i="2"/>
  <c r="S25" i="2"/>
  <c r="H30" i="2"/>
  <c r="H25" i="2"/>
  <c r="AF24" i="2"/>
  <c r="AF47" i="2"/>
  <c r="P30" i="2"/>
  <c r="P25" i="2"/>
  <c r="T30" i="2"/>
  <c r="T25" i="2"/>
  <c r="O30" i="2"/>
  <c r="O25" i="2"/>
  <c r="G24" i="2"/>
  <c r="G54" i="2" s="1"/>
  <c r="G47" i="2"/>
  <c r="X30" i="2"/>
  <c r="X33" i="2" s="1"/>
  <c r="X25" i="2"/>
  <c r="Q47" i="2"/>
  <c r="AE24" i="2"/>
  <c r="AE47" i="2"/>
  <c r="W30" i="2"/>
  <c r="AB30" i="2"/>
  <c r="AB25" i="2"/>
  <c r="N57" i="2"/>
  <c r="V30" i="2"/>
  <c r="AI30" i="2"/>
  <c r="AI25" i="2"/>
  <c r="AD24" i="2"/>
  <c r="AD47" i="2"/>
  <c r="D30" i="2"/>
  <c r="D33" i="2" s="1"/>
  <c r="Z30" i="2"/>
  <c r="Z41" i="2" s="1"/>
  <c r="AJ30" i="2"/>
  <c r="AJ25" i="2"/>
  <c r="C255" i="2"/>
  <c r="AE255" i="2"/>
  <c r="AD255" i="2"/>
  <c r="U255" i="2"/>
  <c r="AF255" i="2"/>
  <c r="Q255" i="2"/>
  <c r="Y30" i="2"/>
  <c r="N27" i="2"/>
  <c r="Q30" i="2"/>
  <c r="AI75" i="2"/>
  <c r="AI133" i="2" s="1"/>
  <c r="AA139" i="2"/>
  <c r="AA51" i="2"/>
  <c r="P75" i="2"/>
  <c r="P51" i="2"/>
  <c r="Q75" i="2"/>
  <c r="Q51" i="2"/>
  <c r="O75" i="2"/>
  <c r="O51" i="2"/>
  <c r="V139" i="2"/>
  <c r="V51" i="2"/>
  <c r="X139" i="2"/>
  <c r="X51" i="2"/>
  <c r="Y139" i="2"/>
  <c r="Y51" i="2"/>
  <c r="U139" i="2"/>
  <c r="U51" i="2"/>
  <c r="N75" i="2"/>
  <c r="N51" i="2"/>
  <c r="AB139" i="2"/>
  <c r="AB51" i="2"/>
  <c r="Z139" i="2"/>
  <c r="Z51" i="2"/>
  <c r="AD72" i="2"/>
  <c r="AD86" i="2" s="1"/>
  <c r="AH178" i="2"/>
  <c r="AH192" i="2" s="1"/>
  <c r="U147" i="2"/>
  <c r="U148" i="2" s="1"/>
  <c r="T75" i="2"/>
  <c r="S75" i="2"/>
  <c r="AC82" i="2"/>
  <c r="AC88" i="2" s="1"/>
  <c r="AC139" i="2"/>
  <c r="W82" i="2"/>
  <c r="W88" i="2" s="1"/>
  <c r="W139" i="2"/>
  <c r="AJ156" i="2"/>
  <c r="AD179" i="2"/>
  <c r="AD128" i="2"/>
  <c r="AI156" i="2"/>
  <c r="R75" i="2"/>
  <c r="AB75" i="2"/>
  <c r="X75" i="2"/>
  <c r="Y75" i="2"/>
  <c r="U75" i="2"/>
  <c r="AA75" i="2"/>
  <c r="V75" i="2"/>
  <c r="AC72" i="2"/>
  <c r="AC86" i="2" s="1"/>
  <c r="Z75" i="2"/>
  <c r="V147" i="2"/>
  <c r="D12" i="2"/>
  <c r="AB82" i="2"/>
  <c r="AB88" i="2" s="1"/>
  <c r="C12" i="2"/>
  <c r="AA82" i="2"/>
  <c r="AA88" i="2" s="1"/>
  <c r="P82" i="2"/>
  <c r="P88" i="2" s="1"/>
  <c r="O82" i="2"/>
  <c r="O88" i="2" s="1"/>
  <c r="V82" i="2"/>
  <c r="V88" i="2" s="1"/>
  <c r="X82" i="2"/>
  <c r="X88" i="2" s="1"/>
  <c r="T82" i="2"/>
  <c r="T88" i="2" s="1"/>
  <c r="U82" i="2"/>
  <c r="U88" i="2" s="1"/>
  <c r="R82" i="2"/>
  <c r="R88" i="2" s="1"/>
  <c r="S82" i="2"/>
  <c r="S88" i="2" s="1"/>
  <c r="Q82" i="2"/>
  <c r="Q88" i="2" s="1"/>
  <c r="W72" i="2"/>
  <c r="W86" i="2" s="1"/>
  <c r="Y82" i="2"/>
  <c r="Y88" i="2" s="1"/>
  <c r="AF51" i="2"/>
  <c r="AE51" i="2"/>
  <c r="AG51" i="2"/>
  <c r="Z82" i="2"/>
  <c r="Z88" i="2" s="1"/>
  <c r="AA129" i="2"/>
  <c r="AA103" i="2"/>
  <c r="AA106" i="2" s="1"/>
  <c r="Z129" i="2"/>
  <c r="Z103" i="2"/>
  <c r="Z106" i="2" s="1"/>
  <c r="AB129" i="2"/>
  <c r="AB103" i="2"/>
  <c r="AB106" i="2" s="1"/>
  <c r="U24" i="2"/>
  <c r="AG24" i="2"/>
  <c r="AC24" i="2"/>
  <c r="N98" i="2"/>
  <c r="R101" i="2" s="1"/>
  <c r="AG101" i="2"/>
  <c r="C101" i="2"/>
  <c r="H54" i="2"/>
  <c r="H55" i="2" s="1"/>
  <c r="AE101" i="2"/>
  <c r="AD101" i="2"/>
  <c r="AC12" i="2"/>
  <c r="AD12" i="2"/>
  <c r="AI12" i="2"/>
  <c r="D54" i="2"/>
  <c r="D55" i="2" s="1"/>
  <c r="AJ54" i="2"/>
  <c r="AJ55" i="2" s="1"/>
  <c r="AI54" i="2"/>
  <c r="AI55" i="2" s="1"/>
  <c r="F54" i="2"/>
  <c r="E54" i="2"/>
  <c r="G12" i="2"/>
  <c r="AE12" i="2"/>
  <c r="H12" i="2"/>
  <c r="AJ12" i="2"/>
  <c r="AG12" i="2"/>
  <c r="AF12" i="2"/>
  <c r="U12" i="2"/>
  <c r="R10" i="2"/>
  <c r="N9" i="2"/>
  <c r="N90" i="2" s="1"/>
  <c r="AH12" i="2"/>
  <c r="AH188" i="2"/>
  <c r="W189" i="2"/>
  <c r="X127" i="2"/>
  <c r="Y127" i="2"/>
  <c r="Y146" i="2" s="1"/>
  <c r="AB197" i="2"/>
  <c r="X181" i="2"/>
  <c r="AB186" i="2" s="1"/>
  <c r="W127" i="2"/>
  <c r="Z189" i="2"/>
  <c r="V129" i="2"/>
  <c r="X189" i="2"/>
  <c r="AA127" i="2"/>
  <c r="AA146" i="2" s="1"/>
  <c r="C103" i="2"/>
  <c r="C106" i="2" s="1"/>
  <c r="AA194" i="2"/>
  <c r="AD186" i="2"/>
  <c r="Z194" i="2"/>
  <c r="X195" i="2"/>
  <c r="G182" i="2"/>
  <c r="AB189" i="2"/>
  <c r="AA186" i="2"/>
  <c r="F182" i="2"/>
  <c r="AA189" i="2"/>
  <c r="Z127" i="2"/>
  <c r="Z146" i="2" s="1"/>
  <c r="AE178" i="2"/>
  <c r="AE192" i="2" s="1"/>
  <c r="AB127" i="2"/>
  <c r="AB146" i="2" s="1"/>
  <c r="T189" i="2"/>
  <c r="T197" i="2"/>
  <c r="R196" i="2"/>
  <c r="V188" i="2"/>
  <c r="R182" i="2"/>
  <c r="D127" i="2"/>
  <c r="D146" i="2" s="1"/>
  <c r="D129" i="2"/>
  <c r="D136" i="2"/>
  <c r="D141" i="2" s="1"/>
  <c r="AC194" i="2"/>
  <c r="AC186" i="2"/>
  <c r="B213" i="2"/>
  <c r="AD195" i="2"/>
  <c r="E208" i="2"/>
  <c r="E213" i="2"/>
  <c r="W186" i="2"/>
  <c r="W194" i="2"/>
  <c r="AD184" i="2"/>
  <c r="AH189" i="2" s="1"/>
  <c r="AD190" i="2"/>
  <c r="AD198" i="2"/>
  <c r="AC187" i="2"/>
  <c r="AF184" i="2"/>
  <c r="AJ189" i="2" s="1"/>
  <c r="AF190" i="2"/>
  <c r="Y39" i="2"/>
  <c r="Q183" i="2"/>
  <c r="Q198" i="2"/>
  <c r="AJ190" i="2"/>
  <c r="AC39" i="2"/>
  <c r="S196" i="2"/>
  <c r="S182" i="2"/>
  <c r="W188" i="2"/>
  <c r="AI129" i="2"/>
  <c r="AI127" i="2"/>
  <c r="AI146" i="2" s="1"/>
  <c r="Y195" i="2"/>
  <c r="Y187" i="2"/>
  <c r="U189" i="2"/>
  <c r="U197" i="2"/>
  <c r="P196" i="2"/>
  <c r="P182" i="2"/>
  <c r="T188" i="2"/>
  <c r="AH190" i="2"/>
  <c r="AE190" i="2"/>
  <c r="AI190" i="2"/>
  <c r="AE184" i="2"/>
  <c r="AI189" i="2" s="1"/>
  <c r="AI197" i="2"/>
  <c r="AD194" i="2"/>
  <c r="Y189" i="2"/>
  <c r="AD196" i="2"/>
  <c r="V189" i="2"/>
  <c r="V197" i="2"/>
  <c r="AC198" i="2"/>
  <c r="AG190" i="2"/>
  <c r="AC184" i="2"/>
  <c r="AC190" i="2"/>
  <c r="B30" i="2" l="1"/>
  <c r="C56" i="3"/>
  <c r="C57" i="3" s="1"/>
  <c r="C72" i="3" s="1"/>
  <c r="C69" i="3"/>
  <c r="C71" i="3" s="1"/>
  <c r="B56" i="3"/>
  <c r="B57" i="3" s="1"/>
  <c r="B72" i="3" s="1"/>
  <c r="B69" i="3"/>
  <c r="B71" i="3" s="1"/>
  <c r="D56" i="3"/>
  <c r="D57" i="3" s="1"/>
  <c r="D72" i="3" s="1"/>
  <c r="D69" i="3"/>
  <c r="D71" i="3" s="1"/>
  <c r="AC90" i="2"/>
  <c r="AI87" i="2"/>
  <c r="AD90" i="2"/>
  <c r="H91" i="2"/>
  <c r="H89" i="2"/>
  <c r="W90" i="2"/>
  <c r="B54" i="2"/>
  <c r="B55" i="2" s="1"/>
  <c r="N24" i="2"/>
  <c r="N25" i="2" s="1"/>
  <c r="T53" i="2"/>
  <c r="T54" i="2" s="1"/>
  <c r="T55" i="2" s="1"/>
  <c r="S53" i="2"/>
  <c r="S54" i="2" s="1"/>
  <c r="S55" i="2" s="1"/>
  <c r="R53" i="2"/>
  <c r="R54" i="2" s="1"/>
  <c r="R55" i="2" s="1"/>
  <c r="D34" i="2"/>
  <c r="D60" i="2"/>
  <c r="D64" i="2" s="1"/>
  <c r="X34" i="2"/>
  <c r="N47" i="2"/>
  <c r="X41" i="2"/>
  <c r="F58" i="2"/>
  <c r="F55" i="2"/>
  <c r="E58" i="2"/>
  <c r="E55" i="2"/>
  <c r="G58" i="2"/>
  <c r="G55" i="2"/>
  <c r="AF30" i="2"/>
  <c r="AF25" i="2"/>
  <c r="AD30" i="2"/>
  <c r="AD25" i="2"/>
  <c r="D41" i="2"/>
  <c r="G30" i="2"/>
  <c r="G25" i="2"/>
  <c r="AI150" i="2"/>
  <c r="D259" i="2"/>
  <c r="D263" i="2" s="1"/>
  <c r="C54" i="2"/>
  <c r="C55" i="2" s="1"/>
  <c r="C25" i="2"/>
  <c r="AG30" i="2"/>
  <c r="AG41" i="2" s="1"/>
  <c r="AG25" i="2"/>
  <c r="U30" i="2"/>
  <c r="U25" i="2"/>
  <c r="AE30" i="2"/>
  <c r="AE25" i="2"/>
  <c r="AC30" i="2"/>
  <c r="AC25" i="2"/>
  <c r="AI58" i="2"/>
  <c r="AJ58" i="2"/>
  <c r="H58" i="2"/>
  <c r="U104" i="2"/>
  <c r="U105" i="2" s="1"/>
  <c r="U108" i="2" s="1"/>
  <c r="Y53" i="2"/>
  <c r="Y54" i="2" s="1"/>
  <c r="Y55" i="2" s="1"/>
  <c r="AA53" i="2"/>
  <c r="AA54" i="2" s="1"/>
  <c r="AA55" i="2" s="1"/>
  <c r="AC53" i="2"/>
  <c r="AC54" i="2" s="1"/>
  <c r="AC55" i="2" s="1"/>
  <c r="AB53" i="2"/>
  <c r="AB54" i="2" s="1"/>
  <c r="AB55" i="2" s="1"/>
  <c r="U53" i="2"/>
  <c r="U54" i="2" s="1"/>
  <c r="U55" i="2" s="1"/>
  <c r="X53" i="2"/>
  <c r="X54" i="2" s="1"/>
  <c r="X55" i="2" s="1"/>
  <c r="W53" i="2"/>
  <c r="W54" i="2" s="1"/>
  <c r="W55" i="2" s="1"/>
  <c r="AH72" i="2"/>
  <c r="AH86" i="2" s="1"/>
  <c r="AE72" i="2"/>
  <c r="AE86" i="2" s="1"/>
  <c r="AI179" i="2"/>
  <c r="V53" i="2"/>
  <c r="V54" i="2" s="1"/>
  <c r="V55" i="2" s="1"/>
  <c r="Z53" i="2"/>
  <c r="Z54" i="2" s="1"/>
  <c r="Z55" i="2" s="1"/>
  <c r="AD139" i="2"/>
  <c r="AD51" i="2"/>
  <c r="Q83" i="2"/>
  <c r="Q87" i="2" s="1"/>
  <c r="Q53" i="2"/>
  <c r="Q54" i="2" s="1"/>
  <c r="Q55" i="2" s="1"/>
  <c r="AC78" i="2"/>
  <c r="O83" i="2"/>
  <c r="O87" i="2" s="1"/>
  <c r="O53" i="2"/>
  <c r="O54" i="2" s="1"/>
  <c r="O55" i="2" s="1"/>
  <c r="W78" i="2"/>
  <c r="P83" i="2"/>
  <c r="P87" i="2" s="1"/>
  <c r="P53" i="2"/>
  <c r="P54" i="2" s="1"/>
  <c r="P55" i="2" s="1"/>
  <c r="AH194" i="2"/>
  <c r="AH128" i="2"/>
  <c r="U133" i="2"/>
  <c r="U150" i="2"/>
  <c r="V148" i="2"/>
  <c r="V104" i="2"/>
  <c r="W75" i="2"/>
  <c r="W133" i="2" s="1"/>
  <c r="W146" i="2"/>
  <c r="W147" i="2" s="1"/>
  <c r="AC75" i="2"/>
  <c r="AC133" i="2" s="1"/>
  <c r="Y147" i="2"/>
  <c r="X146" i="2"/>
  <c r="X147" i="2" s="1"/>
  <c r="AE128" i="2"/>
  <c r="AH197" i="2"/>
  <c r="Z83" i="2"/>
  <c r="Z87" i="2" s="1"/>
  <c r="Z140" i="2"/>
  <c r="Z156" i="2" s="1"/>
  <c r="AG82" i="2"/>
  <c r="AG88" i="2" s="1"/>
  <c r="AG139" i="2"/>
  <c r="R83" i="2"/>
  <c r="R87" i="2" s="1"/>
  <c r="AA150" i="2"/>
  <c r="AA133" i="2"/>
  <c r="AF82" i="2"/>
  <c r="AF88" i="2" s="1"/>
  <c r="AF139" i="2"/>
  <c r="U83" i="2"/>
  <c r="U87" i="2" s="1"/>
  <c r="U140" i="2"/>
  <c r="U156" i="2" s="1"/>
  <c r="V83" i="2"/>
  <c r="V87" i="2" s="1"/>
  <c r="V140" i="2"/>
  <c r="V156" i="2" s="1"/>
  <c r="W83" i="2"/>
  <c r="W140" i="2"/>
  <c r="W156" i="2" s="1"/>
  <c r="V150" i="2"/>
  <c r="V133" i="2"/>
  <c r="AE82" i="2"/>
  <c r="AE88" i="2" s="1"/>
  <c r="AE139" i="2"/>
  <c r="Y83" i="2"/>
  <c r="Y87" i="2" s="1"/>
  <c r="Y140" i="2"/>
  <c r="Y156" i="2" s="1"/>
  <c r="T83" i="2"/>
  <c r="T87" i="2" s="1"/>
  <c r="AA83" i="2"/>
  <c r="AA87" i="2" s="1"/>
  <c r="AA140" i="2"/>
  <c r="AA156" i="2" s="1"/>
  <c r="AB150" i="2"/>
  <c r="AB133" i="2"/>
  <c r="S83" i="2"/>
  <c r="S87" i="2" s="1"/>
  <c r="AH196" i="2"/>
  <c r="AH198" i="2"/>
  <c r="AH195" i="2"/>
  <c r="AC83" i="2"/>
  <c r="AC140" i="2"/>
  <c r="AC156" i="2" s="1"/>
  <c r="AB83" i="2"/>
  <c r="AB87" i="2" s="1"/>
  <c r="AB140" i="2"/>
  <c r="AB156" i="2" s="1"/>
  <c r="Z150" i="2"/>
  <c r="Z133" i="2"/>
  <c r="X83" i="2"/>
  <c r="X87" i="2" s="1"/>
  <c r="X140" i="2"/>
  <c r="X156" i="2" s="1"/>
  <c r="Y150" i="2"/>
  <c r="Y133" i="2"/>
  <c r="X150" i="2"/>
  <c r="X133" i="2"/>
  <c r="AE196" i="2"/>
  <c r="AE179" i="2"/>
  <c r="AD75" i="2"/>
  <c r="N82" i="2"/>
  <c r="N88" i="2" s="1"/>
  <c r="AD82" i="2"/>
  <c r="AD88" i="2" s="1"/>
  <c r="D110" i="2"/>
  <c r="D113" i="2" s="1"/>
  <c r="D147" i="2"/>
  <c r="D216" i="2" s="1"/>
  <c r="C136" i="2"/>
  <c r="AH54" i="2"/>
  <c r="AH55" i="2" s="1"/>
  <c r="R12" i="2"/>
  <c r="AE194" i="2"/>
  <c r="X186" i="2"/>
  <c r="X194" i="2"/>
  <c r="Z33" i="2"/>
  <c r="C127" i="2"/>
  <c r="C146" i="2" s="1"/>
  <c r="C129" i="2"/>
  <c r="G181" i="2"/>
  <c r="G187" i="2"/>
  <c r="F187" i="2"/>
  <c r="F181" i="2"/>
  <c r="AE195" i="2"/>
  <c r="AE198" i="2"/>
  <c r="AF178" i="2"/>
  <c r="AF192" i="2" s="1"/>
  <c r="Y33" i="2"/>
  <c r="Y41" i="2"/>
  <c r="Q41" i="2"/>
  <c r="Q33" i="2"/>
  <c r="S195" i="2"/>
  <c r="W187" i="2"/>
  <c r="AC189" i="2"/>
  <c r="AC197" i="2"/>
  <c r="U188" i="2"/>
  <c r="Q182" i="2"/>
  <c r="Q196" i="2"/>
  <c r="R195" i="2"/>
  <c r="V187" i="2"/>
  <c r="AE197" i="2"/>
  <c r="AE189" i="2"/>
  <c r="AF189" i="2"/>
  <c r="X37" i="2"/>
  <c r="D137" i="2"/>
  <c r="AD197" i="2"/>
  <c r="AD189" i="2"/>
  <c r="E41" i="2"/>
  <c r="E259" i="2"/>
  <c r="E263" i="2" s="1"/>
  <c r="E33" i="2"/>
  <c r="AA33" i="2"/>
  <c r="AA41" i="2"/>
  <c r="AG189" i="2"/>
  <c r="O33" i="2"/>
  <c r="O41" i="2"/>
  <c r="E214" i="2"/>
  <c r="S41" i="2"/>
  <c r="S33" i="2"/>
  <c r="D37" i="2"/>
  <c r="P195" i="2"/>
  <c r="T187" i="2"/>
  <c r="AB41" i="2"/>
  <c r="AB33" i="2"/>
  <c r="C213" i="2"/>
  <c r="C208" i="2"/>
  <c r="D208" i="2"/>
  <c r="AD103" i="2"/>
  <c r="AD106" i="2" s="1"/>
  <c r="T91" i="2" l="1"/>
  <c r="T89" i="2"/>
  <c r="Z91" i="2"/>
  <c r="Z89" i="2"/>
  <c r="AH90" i="2"/>
  <c r="Q91" i="2"/>
  <c r="Q89" i="2"/>
  <c r="O91" i="2"/>
  <c r="O89" i="2"/>
  <c r="Y91" i="2"/>
  <c r="Y89" i="2"/>
  <c r="S91" i="2"/>
  <c r="S89" i="2"/>
  <c r="AA91" i="2"/>
  <c r="AA89" i="2"/>
  <c r="AB91" i="2"/>
  <c r="AB89" i="2"/>
  <c r="U91" i="2"/>
  <c r="U89" i="2"/>
  <c r="AC87" i="2"/>
  <c r="P91" i="2"/>
  <c r="P89" i="2"/>
  <c r="AI91" i="2"/>
  <c r="AI89" i="2"/>
  <c r="AE90" i="2"/>
  <c r="X91" i="2"/>
  <c r="X89" i="2"/>
  <c r="V91" i="2"/>
  <c r="V89" i="2"/>
  <c r="R91" i="2"/>
  <c r="R89" i="2"/>
  <c r="W87" i="2"/>
  <c r="N30" i="2"/>
  <c r="N33" i="2" s="1"/>
  <c r="N37" i="2" s="1"/>
  <c r="X135" i="2"/>
  <c r="X152" i="2" s="1"/>
  <c r="X153" i="2" s="1"/>
  <c r="X154" i="2" s="1"/>
  <c r="Z135" i="2"/>
  <c r="Z152" i="2" s="1"/>
  <c r="W135" i="2"/>
  <c r="W152" i="2" s="1"/>
  <c r="Y135" i="2"/>
  <c r="Y152" i="2" s="1"/>
  <c r="Y153" i="2" s="1"/>
  <c r="U107" i="2"/>
  <c r="AA135" i="2"/>
  <c r="AA152" i="2" s="1"/>
  <c r="U135" i="2"/>
  <c r="U152" i="2" s="1"/>
  <c r="U153" i="2" s="1"/>
  <c r="V135" i="2"/>
  <c r="V152" i="2" s="1"/>
  <c r="AB135" i="2"/>
  <c r="AB152" i="2" s="1"/>
  <c r="AC135" i="2"/>
  <c r="AC152" i="2" s="1"/>
  <c r="S34" i="2"/>
  <c r="S60" i="2"/>
  <c r="Q34" i="2"/>
  <c r="Q60" i="2"/>
  <c r="X60" i="2"/>
  <c r="Y34" i="2"/>
  <c r="Y60" i="2"/>
  <c r="E34" i="2"/>
  <c r="E60" i="2"/>
  <c r="E64" i="2" s="1"/>
  <c r="AB34" i="2"/>
  <c r="AB60" i="2"/>
  <c r="O34" i="2"/>
  <c r="O60" i="2"/>
  <c r="AA34" i="2"/>
  <c r="AA60" i="2"/>
  <c r="Z34" i="2"/>
  <c r="Z60" i="2"/>
  <c r="AG33" i="2"/>
  <c r="AC58" i="2"/>
  <c r="T58" i="2"/>
  <c r="R58" i="2"/>
  <c r="W58" i="2"/>
  <c r="Z58" i="2"/>
  <c r="S58" i="2"/>
  <c r="O58" i="2"/>
  <c r="V58" i="2"/>
  <c r="AB58" i="2"/>
  <c r="AA58" i="2"/>
  <c r="Q58" i="2"/>
  <c r="U58" i="2"/>
  <c r="X58" i="2"/>
  <c r="P58" i="2"/>
  <c r="AH58" i="2"/>
  <c r="Y58" i="2"/>
  <c r="AF72" i="2"/>
  <c r="AF86" i="2" s="1"/>
  <c r="AJ178" i="2"/>
  <c r="AJ192" i="2" s="1"/>
  <c r="AE53" i="2"/>
  <c r="AE54" i="2" s="1"/>
  <c r="AE55" i="2" s="1"/>
  <c r="AF53" i="2"/>
  <c r="AF54" i="2" s="1"/>
  <c r="AF55" i="2" s="1"/>
  <c r="AD53" i="2"/>
  <c r="AD54" i="2" s="1"/>
  <c r="AD55" i="2" s="1"/>
  <c r="AG53" i="2"/>
  <c r="AG54" i="2" s="1"/>
  <c r="AG55" i="2" s="1"/>
  <c r="AC150" i="2"/>
  <c r="N83" i="2"/>
  <c r="N87" i="2" s="1"/>
  <c r="N53" i="2"/>
  <c r="W150" i="2"/>
  <c r="W148" i="2"/>
  <c r="W104" i="2"/>
  <c r="X148" i="2"/>
  <c r="X104" i="2"/>
  <c r="V107" i="2"/>
  <c r="V105" i="2"/>
  <c r="V108" i="2" s="1"/>
  <c r="Y148" i="2"/>
  <c r="Y104" i="2"/>
  <c r="AE75" i="2"/>
  <c r="AE150" i="2" s="1"/>
  <c r="AF128" i="2"/>
  <c r="AD150" i="2"/>
  <c r="AD133" i="2"/>
  <c r="AH75" i="2"/>
  <c r="AH87" i="2" s="1"/>
  <c r="AH91" i="2" s="1"/>
  <c r="AF83" i="2"/>
  <c r="AF140" i="2"/>
  <c r="AF156" i="2" s="1"/>
  <c r="AG83" i="2"/>
  <c r="AG140" i="2"/>
  <c r="AG156" i="2" s="1"/>
  <c r="AD83" i="2"/>
  <c r="AD87" i="2" s="1"/>
  <c r="AD140" i="2"/>
  <c r="AD156" i="2" s="1"/>
  <c r="AE83" i="2"/>
  <c r="AE140" i="2"/>
  <c r="AE156" i="2" s="1"/>
  <c r="AF194" i="2"/>
  <c r="AF179" i="2"/>
  <c r="C141" i="2"/>
  <c r="C117" i="2" s="1"/>
  <c r="C120" i="2" s="1"/>
  <c r="D142" i="2"/>
  <c r="D117" i="2"/>
  <c r="D120" i="2" s="1"/>
  <c r="C110" i="2"/>
  <c r="C113" i="2" s="1"/>
  <c r="D148" i="2"/>
  <c r="D104" i="2"/>
  <c r="D107" i="2" s="1"/>
  <c r="AI147" i="2"/>
  <c r="AI216" i="2" s="1"/>
  <c r="C137" i="2"/>
  <c r="AB147" i="2"/>
  <c r="Z147" i="2"/>
  <c r="D153" i="2"/>
  <c r="D157" i="2" s="1"/>
  <c r="D118" i="2" s="1"/>
  <c r="D121" i="2" s="1"/>
  <c r="AA147" i="2"/>
  <c r="F186" i="2"/>
  <c r="Z37" i="2"/>
  <c r="AD41" i="2"/>
  <c r="AG178" i="2"/>
  <c r="AG192" i="2" s="1"/>
  <c r="G186" i="2"/>
  <c r="AF195" i="2"/>
  <c r="AF197" i="2"/>
  <c r="AI136" i="2"/>
  <c r="AI141" i="2" s="1"/>
  <c r="AF196" i="2"/>
  <c r="T33" i="2"/>
  <c r="T41" i="2"/>
  <c r="AF198" i="2"/>
  <c r="E37" i="2"/>
  <c r="H259" i="2"/>
  <c r="H263" i="2" s="1"/>
  <c r="H41" i="2"/>
  <c r="H33" i="2"/>
  <c r="W33" i="2"/>
  <c r="W41" i="2"/>
  <c r="AH33" i="2"/>
  <c r="AH41" i="2"/>
  <c r="AF41" i="2"/>
  <c r="AF33" i="2"/>
  <c r="G41" i="2"/>
  <c r="G33" i="2"/>
  <c r="G259" i="2"/>
  <c r="G263" i="2" s="1"/>
  <c r="AJ33" i="2"/>
  <c r="AJ41" i="2"/>
  <c r="P33" i="2"/>
  <c r="P41" i="2"/>
  <c r="R33" i="2"/>
  <c r="R41" i="2"/>
  <c r="AB37" i="2"/>
  <c r="V33" i="2"/>
  <c r="V41" i="2"/>
  <c r="S37" i="2"/>
  <c r="AC33" i="2"/>
  <c r="AC41" i="2"/>
  <c r="AE41" i="2"/>
  <c r="AE33" i="2"/>
  <c r="F259" i="2"/>
  <c r="F263" i="2" s="1"/>
  <c r="F33" i="2"/>
  <c r="F41" i="2"/>
  <c r="AD129" i="2"/>
  <c r="AD127" i="2"/>
  <c r="AD146" i="2" s="1"/>
  <c r="C214" i="2"/>
  <c r="D214" i="2"/>
  <c r="Q195" i="2"/>
  <c r="U187" i="2"/>
  <c r="O37" i="2"/>
  <c r="Q37" i="2"/>
  <c r="AI33" i="2"/>
  <c r="AI41" i="2"/>
  <c r="AA37" i="2"/>
  <c r="Y37" i="2"/>
  <c r="AE87" i="2" l="1"/>
  <c r="AE91" i="2" s="1"/>
  <c r="N91" i="2"/>
  <c r="N89" i="2"/>
  <c r="AD91" i="2"/>
  <c r="AD89" i="2"/>
  <c r="AC91" i="2"/>
  <c r="AC89" i="2"/>
  <c r="AH89" i="2"/>
  <c r="AF90" i="2"/>
  <c r="AE89" i="2"/>
  <c r="Y136" i="2"/>
  <c r="Y137" i="2" s="1"/>
  <c r="W91" i="2"/>
  <c r="W89" i="2"/>
  <c r="U136" i="2"/>
  <c r="U137" i="2" s="1"/>
  <c r="N34" i="2"/>
  <c r="X136" i="2"/>
  <c r="X137" i="2" s="1"/>
  <c r="N41" i="2"/>
  <c r="W136" i="2"/>
  <c r="W110" i="2" s="1"/>
  <c r="W113" i="2" s="1"/>
  <c r="N60" i="2"/>
  <c r="AG135" i="2"/>
  <c r="AG152" i="2" s="1"/>
  <c r="AF135" i="2"/>
  <c r="AF152" i="2" s="1"/>
  <c r="AE135" i="2"/>
  <c r="AE152" i="2" s="1"/>
  <c r="AD135" i="2"/>
  <c r="AD152" i="2" s="1"/>
  <c r="W153" i="2"/>
  <c r="W157" i="2" s="1"/>
  <c r="AE34" i="2"/>
  <c r="AE60" i="2"/>
  <c r="T34" i="2"/>
  <c r="T60" i="2"/>
  <c r="R34" i="2"/>
  <c r="R60" i="2"/>
  <c r="AG34" i="2"/>
  <c r="AG60" i="2"/>
  <c r="AC34" i="2"/>
  <c r="AC60" i="2"/>
  <c r="AJ34" i="2"/>
  <c r="AJ60" i="2"/>
  <c r="AH34" i="2"/>
  <c r="AH60" i="2"/>
  <c r="W34" i="2"/>
  <c r="W60" i="2"/>
  <c r="AI34" i="2"/>
  <c r="AI60" i="2"/>
  <c r="AG37" i="2"/>
  <c r="H34" i="2"/>
  <c r="H60" i="2"/>
  <c r="H64" i="2" s="1"/>
  <c r="V34" i="2"/>
  <c r="V60" i="2"/>
  <c r="P34" i="2"/>
  <c r="P60" i="2"/>
  <c r="G34" i="2"/>
  <c r="G60" i="2"/>
  <c r="G64" i="2" s="1"/>
  <c r="F34" i="2"/>
  <c r="F60" i="2"/>
  <c r="F64" i="2" s="1"/>
  <c r="AF34" i="2"/>
  <c r="AF60" i="2"/>
  <c r="AG72" i="2"/>
  <c r="AG86" i="2" s="1"/>
  <c r="AF58" i="2"/>
  <c r="AD58" i="2"/>
  <c r="AE58" i="2"/>
  <c r="AG58" i="2"/>
  <c r="X110" i="2"/>
  <c r="X113" i="2" s="1"/>
  <c r="AI153" i="2"/>
  <c r="AI157" i="2" s="1"/>
  <c r="AE133" i="2"/>
  <c r="X107" i="2"/>
  <c r="X105" i="2"/>
  <c r="X108" i="2" s="1"/>
  <c r="Y107" i="2"/>
  <c r="Y105" i="2"/>
  <c r="Y108" i="2" s="1"/>
  <c r="U157" i="2"/>
  <c r="U111" i="2"/>
  <c r="U114" i="2" s="1"/>
  <c r="U154" i="2"/>
  <c r="Y157" i="2"/>
  <c r="Y118" i="2" s="1"/>
  <c r="Y121" i="2" s="1"/>
  <c r="Y111" i="2"/>
  <c r="Y114" i="2" s="1"/>
  <c r="X157" i="2"/>
  <c r="X111" i="2"/>
  <c r="X114" i="2" s="1"/>
  <c r="W107" i="2"/>
  <c r="W105" i="2"/>
  <c r="W108" i="2" s="1"/>
  <c r="Y110" i="2"/>
  <c r="Y113" i="2" s="1"/>
  <c r="D105" i="2"/>
  <c r="D108" i="2" s="1"/>
  <c r="AF75" i="2"/>
  <c r="AF150" i="2" s="1"/>
  <c r="AG128" i="2"/>
  <c r="H128" i="2" s="1"/>
  <c r="H131" i="2" s="1"/>
  <c r="AH133" i="2"/>
  <c r="AH136" i="2" s="1"/>
  <c r="AH141" i="2" s="1"/>
  <c r="AH150" i="2"/>
  <c r="AH175" i="2"/>
  <c r="AH176" i="2" s="1"/>
  <c r="AG179" i="2"/>
  <c r="C142" i="2"/>
  <c r="D119" i="2"/>
  <c r="D122" i="2" s="1"/>
  <c r="D158" i="2"/>
  <c r="D111" i="2"/>
  <c r="D114" i="2" s="1"/>
  <c r="AI137" i="2"/>
  <c r="AI110" i="2"/>
  <c r="AI113" i="2" s="1"/>
  <c r="AB148" i="2"/>
  <c r="AB104" i="2"/>
  <c r="AB107" i="2" s="1"/>
  <c r="Z148" i="2"/>
  <c r="Z104" i="2"/>
  <c r="Z107" i="2" s="1"/>
  <c r="AA148" i="2"/>
  <c r="AA104" i="2"/>
  <c r="AA107" i="2" s="1"/>
  <c r="AI148" i="2"/>
  <c r="AI104" i="2"/>
  <c r="AI107" i="2" s="1"/>
  <c r="AE129" i="2"/>
  <c r="AE103" i="2"/>
  <c r="AE106" i="2" s="1"/>
  <c r="C147" i="2"/>
  <c r="AA153" i="2"/>
  <c r="AA157" i="2" s="1"/>
  <c r="AA118" i="2" s="1"/>
  <c r="AA121" i="2" s="1"/>
  <c r="D154" i="2"/>
  <c r="AB153" i="2"/>
  <c r="AB157" i="2" s="1"/>
  <c r="AB118" i="2" s="1"/>
  <c r="AB121" i="2" s="1"/>
  <c r="AD33" i="2"/>
  <c r="N54" i="2"/>
  <c r="N55" i="2" s="1"/>
  <c r="AB136" i="2"/>
  <c r="AB141" i="2" s="1"/>
  <c r="H196" i="2"/>
  <c r="AG198" i="2"/>
  <c r="AG196" i="2"/>
  <c r="AG197" i="2"/>
  <c r="AG181" i="2"/>
  <c r="AG186" i="2" s="1"/>
  <c r="AI175" i="2"/>
  <c r="AE127" i="2"/>
  <c r="AE146" i="2" s="1"/>
  <c r="AA136" i="2"/>
  <c r="AA141" i="2" s="1"/>
  <c r="T37" i="2"/>
  <c r="B41" i="2"/>
  <c r="B259" i="2"/>
  <c r="B263" i="2" s="1"/>
  <c r="B33" i="2"/>
  <c r="V153" i="2"/>
  <c r="V136" i="2"/>
  <c r="C259" i="2"/>
  <c r="C263" i="2" s="1"/>
  <c r="C41" i="2"/>
  <c r="C33" i="2"/>
  <c r="AI37" i="2"/>
  <c r="AH37" i="2"/>
  <c r="G37" i="2"/>
  <c r="W37" i="2"/>
  <c r="AF37" i="2"/>
  <c r="U33" i="2"/>
  <c r="U41" i="2"/>
  <c r="V37" i="2"/>
  <c r="AE37" i="2"/>
  <c r="F37" i="2"/>
  <c r="R37" i="2"/>
  <c r="AJ37" i="2"/>
  <c r="Z153" i="2"/>
  <c r="Z136" i="2"/>
  <c r="Y154" i="2"/>
  <c r="AC37" i="2"/>
  <c r="P37" i="2"/>
  <c r="H37" i="2"/>
  <c r="Y141" i="2" l="1"/>
  <c r="Y117" i="2" s="1"/>
  <c r="Y120" i="2" s="1"/>
  <c r="W141" i="2"/>
  <c r="X141" i="2"/>
  <c r="X117" i="2" s="1"/>
  <c r="X120" i="2" s="1"/>
  <c r="W137" i="2"/>
  <c r="AG90" i="2"/>
  <c r="U110" i="2"/>
  <c r="U113" i="2" s="1"/>
  <c r="U141" i="2"/>
  <c r="U142" i="2" s="1"/>
  <c r="AF87" i="2"/>
  <c r="W154" i="2"/>
  <c r="X142" i="2"/>
  <c r="W111" i="2"/>
  <c r="W114" i="2" s="1"/>
  <c r="AG78" i="2"/>
  <c r="C34" i="2"/>
  <c r="C60" i="2"/>
  <c r="C64" i="2" s="1"/>
  <c r="AF133" i="2"/>
  <c r="AD34" i="2"/>
  <c r="AD60" i="2"/>
  <c r="U34" i="2"/>
  <c r="U60" i="2"/>
  <c r="B34" i="2"/>
  <c r="B60" i="2"/>
  <c r="B64" i="2" s="1"/>
  <c r="C148" i="2"/>
  <c r="C216" i="2"/>
  <c r="N58" i="2"/>
  <c r="D112" i="2"/>
  <c r="D115" i="2" s="1"/>
  <c r="Y142" i="2"/>
  <c r="X112" i="2"/>
  <c r="X115" i="2" s="1"/>
  <c r="X118" i="2"/>
  <c r="X121" i="2" s="1"/>
  <c r="X158" i="2"/>
  <c r="U158" i="2"/>
  <c r="U118" i="2"/>
  <c r="U121" i="2" s="1"/>
  <c r="V157" i="2"/>
  <c r="V118" i="2" s="1"/>
  <c r="V121" i="2" s="1"/>
  <c r="V111" i="2"/>
  <c r="V114" i="2" s="1"/>
  <c r="W158" i="2"/>
  <c r="W118" i="2"/>
  <c r="W121" i="2" s="1"/>
  <c r="V141" i="2"/>
  <c r="V117" i="2" s="1"/>
  <c r="V120" i="2" s="1"/>
  <c r="V110" i="2"/>
  <c r="V113" i="2" s="1"/>
  <c r="Y158" i="2"/>
  <c r="Y112" i="2"/>
  <c r="Y115" i="2" s="1"/>
  <c r="Y119" i="2"/>
  <c r="Y122" i="2" s="1"/>
  <c r="W142" i="2"/>
  <c r="W117" i="2"/>
  <c r="W120" i="2" s="1"/>
  <c r="AI105" i="2"/>
  <c r="AI108" i="2" s="1"/>
  <c r="AA105" i="2"/>
  <c r="AA108" i="2" s="1"/>
  <c r="AB105" i="2"/>
  <c r="AB108" i="2" s="1"/>
  <c r="Z105" i="2"/>
  <c r="Z108" i="2" s="1"/>
  <c r="AG75" i="2"/>
  <c r="AG87" i="2" s="1"/>
  <c r="AG91" i="2" s="1"/>
  <c r="Z110" i="2"/>
  <c r="Z113" i="2" s="1"/>
  <c r="Z141" i="2"/>
  <c r="Z117" i="2" s="1"/>
  <c r="Z120" i="2" s="1"/>
  <c r="AI118" i="2"/>
  <c r="AI121" i="2" s="1"/>
  <c r="Z111" i="2"/>
  <c r="Z114" i="2" s="1"/>
  <c r="Z157" i="2"/>
  <c r="Z118" i="2" s="1"/>
  <c r="Z121" i="2" s="1"/>
  <c r="AB137" i="2"/>
  <c r="AB110" i="2"/>
  <c r="AB113" i="2" s="1"/>
  <c r="AI158" i="2"/>
  <c r="AI111" i="2"/>
  <c r="AI114" i="2" s="1"/>
  <c r="AA158" i="2"/>
  <c r="AA111" i="2"/>
  <c r="AA114" i="2" s="1"/>
  <c r="AA110" i="2"/>
  <c r="AA113" i="2" s="1"/>
  <c r="AB154" i="2"/>
  <c r="AB111" i="2"/>
  <c r="AB114" i="2" s="1"/>
  <c r="AI154" i="2"/>
  <c r="AF127" i="2"/>
  <c r="AF146" i="2" s="1"/>
  <c r="AF103" i="2"/>
  <c r="AF106" i="2" s="1"/>
  <c r="C153" i="2"/>
  <c r="C104" i="2"/>
  <c r="C107" i="2" s="1"/>
  <c r="AB158" i="2"/>
  <c r="AA154" i="2"/>
  <c r="AD37" i="2"/>
  <c r="AD147" i="2"/>
  <c r="AD216" i="2" s="1"/>
  <c r="H198" i="2"/>
  <c r="H197" i="2"/>
  <c r="AA137" i="2"/>
  <c r="AF129" i="2"/>
  <c r="AG182" i="2"/>
  <c r="AI176" i="2"/>
  <c r="G197" i="2"/>
  <c r="G198" i="2"/>
  <c r="G196" i="2"/>
  <c r="G194" i="2"/>
  <c r="G195" i="2"/>
  <c r="V137" i="2"/>
  <c r="V154" i="2"/>
  <c r="AE136" i="2"/>
  <c r="AD136" i="2"/>
  <c r="B37" i="2"/>
  <c r="C37" i="2"/>
  <c r="Z137" i="2"/>
  <c r="U37" i="2"/>
  <c r="Z154" i="2"/>
  <c r="F197" i="2"/>
  <c r="F196" i="2"/>
  <c r="F198" i="2"/>
  <c r="F195" i="2"/>
  <c r="F194" i="2"/>
  <c r="U117" i="2" l="1"/>
  <c r="U120" i="2" s="1"/>
  <c r="W112" i="2"/>
  <c r="W115" i="2" s="1"/>
  <c r="AF91" i="2"/>
  <c r="AF89" i="2"/>
  <c r="I64" i="2"/>
  <c r="I65" i="2" s="1"/>
  <c r="U112" i="2"/>
  <c r="U115" i="2" s="1"/>
  <c r="AG89" i="2"/>
  <c r="AG150" i="2"/>
  <c r="V158" i="2"/>
  <c r="V142" i="2"/>
  <c r="X119" i="2"/>
  <c r="X122" i="2" s="1"/>
  <c r="V119" i="2"/>
  <c r="V122" i="2" s="1"/>
  <c r="Z112" i="2"/>
  <c r="Z115" i="2" s="1"/>
  <c r="V112" i="2"/>
  <c r="V115" i="2" s="1"/>
  <c r="W119" i="2"/>
  <c r="W122" i="2" s="1"/>
  <c r="AI112" i="2"/>
  <c r="AI115" i="2" s="1"/>
  <c r="U119" i="2"/>
  <c r="U122" i="2" s="1"/>
  <c r="C105" i="2"/>
  <c r="C108" i="2" s="1"/>
  <c r="AG133" i="2"/>
  <c r="AG136" i="2" s="1"/>
  <c r="AG141" i="2" s="1"/>
  <c r="Z119" i="2"/>
  <c r="Z122" i="2" s="1"/>
  <c r="AD110" i="2"/>
  <c r="AD113" i="2" s="1"/>
  <c r="AD141" i="2"/>
  <c r="AE110" i="2"/>
  <c r="AE113" i="2" s="1"/>
  <c r="AE141" i="2"/>
  <c r="AI142" i="2"/>
  <c r="AI117" i="2"/>
  <c r="AI120" i="2" s="1"/>
  <c r="Z158" i="2"/>
  <c r="AB142" i="2"/>
  <c r="AB117" i="2"/>
  <c r="AB120" i="2" s="1"/>
  <c r="Z142" i="2"/>
  <c r="AA142" i="2"/>
  <c r="AA117" i="2"/>
  <c r="AA120" i="2" s="1"/>
  <c r="C111" i="2"/>
  <c r="C114" i="2" s="1"/>
  <c r="C157" i="2"/>
  <c r="AA112" i="2"/>
  <c r="AA115" i="2" s="1"/>
  <c r="AB112" i="2"/>
  <c r="AB115" i="2" s="1"/>
  <c r="AF136" i="2"/>
  <c r="AD148" i="2"/>
  <c r="AD104" i="2"/>
  <c r="AD107" i="2" s="1"/>
  <c r="C154" i="2"/>
  <c r="AD153" i="2"/>
  <c r="AD157" i="2" s="1"/>
  <c r="AD118" i="2" s="1"/>
  <c r="AD121" i="2" s="1"/>
  <c r="AG103" i="2"/>
  <c r="AG106" i="2" s="1"/>
  <c r="AF147" i="2"/>
  <c r="AE147" i="2"/>
  <c r="AE216" i="2" s="1"/>
  <c r="AG127" i="2"/>
  <c r="AG146" i="2" s="1"/>
  <c r="AG129" i="2"/>
  <c r="H182" i="2"/>
  <c r="H181" i="2" s="1"/>
  <c r="AG195" i="2"/>
  <c r="AG187" i="2"/>
  <c r="G103" i="2"/>
  <c r="G106" i="2" s="1"/>
  <c r="AD137" i="2"/>
  <c r="AE137" i="2"/>
  <c r="AF104" i="2" l="1"/>
  <c r="AF107" i="2" s="1"/>
  <c r="AF216" i="2"/>
  <c r="AI119" i="2"/>
  <c r="AI122" i="2" s="1"/>
  <c r="AA119" i="2"/>
  <c r="AA122" i="2" s="1"/>
  <c r="AB119" i="2"/>
  <c r="AB122" i="2" s="1"/>
  <c r="C112" i="2"/>
  <c r="C115" i="2" s="1"/>
  <c r="AD105" i="2"/>
  <c r="AD108" i="2" s="1"/>
  <c r="AF137" i="2"/>
  <c r="AF141" i="2"/>
  <c r="AE142" i="2"/>
  <c r="AE117" i="2"/>
  <c r="AE120" i="2" s="1"/>
  <c r="C158" i="2"/>
  <c r="C118" i="2"/>
  <c r="C121" i="2" s="1"/>
  <c r="AD142" i="2"/>
  <c r="AD117" i="2"/>
  <c r="AD120" i="2" s="1"/>
  <c r="AG137" i="2"/>
  <c r="AG110" i="2"/>
  <c r="AG113" i="2" s="1"/>
  <c r="AD158" i="2"/>
  <c r="AD111" i="2"/>
  <c r="AD114" i="2" s="1"/>
  <c r="AF110" i="2"/>
  <c r="AF113" i="2" s="1"/>
  <c r="AD154" i="2"/>
  <c r="AE148" i="2"/>
  <c r="AE104" i="2"/>
  <c r="AE107" i="2" s="1"/>
  <c r="H187" i="2"/>
  <c r="AF153" i="2"/>
  <c r="AF148" i="2"/>
  <c r="H195" i="2"/>
  <c r="AE153" i="2"/>
  <c r="G129" i="2"/>
  <c r="AC128" i="2"/>
  <c r="AC131" i="2" s="1"/>
  <c r="G127" i="2"/>
  <c r="G146" i="2" s="1"/>
  <c r="G136" i="2"/>
  <c r="G141" i="2" s="1"/>
  <c r="H186" i="2"/>
  <c r="H194" i="2"/>
  <c r="AF105" i="2" l="1"/>
  <c r="AF108" i="2" s="1"/>
  <c r="AD119" i="2"/>
  <c r="AD122" i="2" s="1"/>
  <c r="C119" i="2"/>
  <c r="C122" i="2" s="1"/>
  <c r="AD112" i="2"/>
  <c r="AD115" i="2" s="1"/>
  <c r="AE105" i="2"/>
  <c r="AE108" i="2" s="1"/>
  <c r="AG142" i="2"/>
  <c r="AG117" i="2"/>
  <c r="AG120" i="2" s="1"/>
  <c r="AF142" i="2"/>
  <c r="AF117" i="2"/>
  <c r="AF120" i="2" s="1"/>
  <c r="AE111" i="2"/>
  <c r="AE114" i="2" s="1"/>
  <c r="AE157" i="2"/>
  <c r="AE118" i="2" s="1"/>
  <c r="AE121" i="2" s="1"/>
  <c r="AF111" i="2"/>
  <c r="AF114" i="2" s="1"/>
  <c r="AF157" i="2"/>
  <c r="G110" i="2"/>
  <c r="G113" i="2" s="1"/>
  <c r="G117" i="2"/>
  <c r="G120" i="2" s="1"/>
  <c r="AC103" i="2"/>
  <c r="AC106" i="2" s="1"/>
  <c r="AE154" i="2"/>
  <c r="AF154" i="2"/>
  <c r="AG147" i="2"/>
  <c r="G142" i="2"/>
  <c r="G137" i="2"/>
  <c r="AC127" i="2"/>
  <c r="AC146" i="2" s="1"/>
  <c r="AC129" i="2"/>
  <c r="AC136" i="2"/>
  <c r="AE158" i="2" l="1"/>
  <c r="AG104" i="2"/>
  <c r="AG107" i="2" s="1"/>
  <c r="AG216" i="2"/>
  <c r="AE119" i="2"/>
  <c r="AE122" i="2" s="1"/>
  <c r="AF112" i="2"/>
  <c r="AF115" i="2" s="1"/>
  <c r="AE112" i="2"/>
  <c r="AE115" i="2" s="1"/>
  <c r="AC110" i="2"/>
  <c r="AC113" i="2" s="1"/>
  <c r="AC141" i="2"/>
  <c r="AF158" i="2"/>
  <c r="AF118" i="2"/>
  <c r="AF121" i="2" s="1"/>
  <c r="G147" i="2"/>
  <c r="AG105" i="2"/>
  <c r="AG108" i="2" s="1"/>
  <c r="AG148" i="2"/>
  <c r="AG153" i="2"/>
  <c r="AC137" i="2"/>
  <c r="G104" i="2" l="1"/>
  <c r="G107" i="2" s="1"/>
  <c r="G216" i="2"/>
  <c r="AF119" i="2"/>
  <c r="AF122" i="2" s="1"/>
  <c r="AC142" i="2"/>
  <c r="AC117" i="2"/>
  <c r="AC120" i="2" s="1"/>
  <c r="AG111" i="2"/>
  <c r="AG114" i="2" s="1"/>
  <c r="AG157" i="2"/>
  <c r="AG118" i="2" s="1"/>
  <c r="AG121" i="2" s="1"/>
  <c r="G148" i="2"/>
  <c r="G153" i="2"/>
  <c r="AG154" i="2"/>
  <c r="AC147" i="2"/>
  <c r="AC104" i="2" s="1"/>
  <c r="AC107" i="2" s="1"/>
  <c r="G105" i="2" l="1"/>
  <c r="G108" i="2" s="1"/>
  <c r="AG119" i="2"/>
  <c r="AG122" i="2" s="1"/>
  <c r="AG112" i="2"/>
  <c r="AG115" i="2" s="1"/>
  <c r="AG158" i="2"/>
  <c r="G111" i="2"/>
  <c r="G114" i="2" s="1"/>
  <c r="G157" i="2"/>
  <c r="AC105" i="2"/>
  <c r="AC108" i="2" s="1"/>
  <c r="G154" i="2"/>
  <c r="AC148" i="2"/>
  <c r="AC153" i="2"/>
  <c r="G112" i="2" l="1"/>
  <c r="G115" i="2" s="1"/>
  <c r="G158" i="2"/>
  <c r="G118" i="2"/>
  <c r="G121" i="2" s="1"/>
  <c r="AC111" i="2"/>
  <c r="AC114" i="2" s="1"/>
  <c r="AC157" i="2"/>
  <c r="AC154" i="2"/>
  <c r="G119" i="2" l="1"/>
  <c r="G122" i="2" s="1"/>
  <c r="AC112" i="2"/>
  <c r="AC115" i="2" s="1"/>
  <c r="AC158" i="2"/>
  <c r="AC118" i="2"/>
  <c r="AC121" i="2" s="1"/>
  <c r="AC119" i="2" l="1"/>
  <c r="AC122" i="2" s="1"/>
  <c r="AH142" i="2" l="1"/>
  <c r="AH117" i="2"/>
  <c r="AH120" i="2" s="1"/>
  <c r="AH137" i="2"/>
  <c r="AH110" i="2"/>
  <c r="AH113" i="2" s="1"/>
  <c r="AH127" i="2" l="1"/>
  <c r="AH146" i="2" s="1"/>
  <c r="AH147" i="2" s="1"/>
  <c r="AH216" i="2" s="1"/>
  <c r="AH129" i="2"/>
  <c r="AH103" i="2"/>
  <c r="F103" i="2"/>
  <c r="F106" i="2" s="1"/>
  <c r="E103" i="2"/>
  <c r="E106" i="2" s="1"/>
  <c r="E136" i="2"/>
  <c r="E137" i="2" s="1"/>
  <c r="F129" i="2"/>
  <c r="F136" i="2"/>
  <c r="F110" i="2" s="1"/>
  <c r="F113" i="2" s="1"/>
  <c r="E129" i="2"/>
  <c r="F127" i="2"/>
  <c r="F146" i="2" s="1"/>
  <c r="F147" i="2" s="1"/>
  <c r="F216" i="2" s="1"/>
  <c r="E127" i="2"/>
  <c r="E146" i="2" s="1"/>
  <c r="E147" i="2" s="1"/>
  <c r="E216" i="2" s="1"/>
  <c r="AH153" i="2" l="1"/>
  <c r="AH148" i="2"/>
  <c r="AH104" i="2"/>
  <c r="AH107" i="2" s="1"/>
  <c r="AH106" i="2"/>
  <c r="AH105" i="2"/>
  <c r="F137" i="2"/>
  <c r="F153" i="2"/>
  <c r="F154" i="2" s="1"/>
  <c r="F104" i="2"/>
  <c r="F107" i="2" s="1"/>
  <c r="E104" i="2"/>
  <c r="E107" i="2" s="1"/>
  <c r="E153" i="2"/>
  <c r="E148" i="2"/>
  <c r="E105" i="2"/>
  <c r="E108" i="2" s="1"/>
  <c r="E110" i="2"/>
  <c r="E113" i="2" s="1"/>
  <c r="F141" i="2"/>
  <c r="E141" i="2"/>
  <c r="F148" i="2"/>
  <c r="F157" i="2" l="1"/>
  <c r="F158" i="2" s="1"/>
  <c r="F111" i="2"/>
  <c r="F114" i="2" s="1"/>
  <c r="AH157" i="2"/>
  <c r="AH154" i="2"/>
  <c r="AH111" i="2"/>
  <c r="F112" i="2"/>
  <c r="F115" i="2" s="1"/>
  <c r="AH108" i="2"/>
  <c r="F105" i="2"/>
  <c r="F108" i="2" s="1"/>
  <c r="F117" i="2"/>
  <c r="F120" i="2" s="1"/>
  <c r="F142" i="2"/>
  <c r="E117" i="2"/>
  <c r="E120" i="2" s="1"/>
  <c r="E142" i="2"/>
  <c r="E154" i="2"/>
  <c r="E111" i="2"/>
  <c r="E114" i="2" s="1"/>
  <c r="E157" i="2"/>
  <c r="F118" i="2" l="1"/>
  <c r="F121" i="2" s="1"/>
  <c r="AH114" i="2"/>
  <c r="AH112" i="2"/>
  <c r="AH115" i="2" s="1"/>
  <c r="AH118" i="2"/>
  <c r="AH158" i="2"/>
  <c r="E112" i="2"/>
  <c r="E115" i="2" s="1"/>
  <c r="E118" i="2"/>
  <c r="E121" i="2" s="1"/>
  <c r="E158" i="2"/>
  <c r="F119" i="2"/>
  <c r="F122" i="2" s="1"/>
  <c r="H103" i="2"/>
  <c r="H106" i="2" s="1"/>
  <c r="H127" i="2"/>
  <c r="H146" i="2"/>
  <c r="H147" i="2" s="1"/>
  <c r="H216" i="2" s="1"/>
  <c r="H136" i="2"/>
  <c r="H137" i="2" s="1"/>
  <c r="H129" i="2"/>
  <c r="AH121" i="2" l="1"/>
  <c r="AH119" i="2"/>
  <c r="AH122" i="2" s="1"/>
  <c r="E119" i="2"/>
  <c r="E122" i="2" s="1"/>
  <c r="H110" i="2"/>
  <c r="H113" i="2" s="1"/>
  <c r="H104" i="2"/>
  <c r="H107" i="2" s="1"/>
  <c r="H148" i="2"/>
  <c r="H153" i="2"/>
  <c r="H105" i="2"/>
  <c r="H108" i="2" s="1"/>
  <c r="H141" i="2"/>
  <c r="H117" i="2" l="1"/>
  <c r="H120" i="2" s="1"/>
  <c r="H142" i="2"/>
  <c r="H111" i="2"/>
  <c r="H114" i="2" s="1"/>
  <c r="H157" i="2"/>
  <c r="H154" i="2"/>
  <c r="H112" i="2" l="1"/>
  <c r="H115" i="2" s="1"/>
  <c r="H118" i="2"/>
  <c r="H121" i="2" s="1"/>
  <c r="H158" i="2"/>
  <c r="AJ128" i="2"/>
  <c r="AJ127" i="2" s="1"/>
  <c r="AJ72" i="2"/>
  <c r="AJ86" i="2" s="1"/>
  <c r="AJ175" i="2"/>
  <c r="AJ176" i="2" s="1"/>
  <c r="AJ197" i="2"/>
  <c r="AJ195" i="2"/>
  <c r="AJ196" i="2"/>
  <c r="AJ194" i="2"/>
  <c r="AJ198" i="2"/>
  <c r="AJ90" i="2" l="1"/>
  <c r="H119" i="2"/>
  <c r="H122" i="2" s="1"/>
  <c r="AJ146" i="2"/>
  <c r="AJ147" i="2" s="1"/>
  <c r="AJ75" i="2"/>
  <c r="AJ87" i="2" s="1"/>
  <c r="AJ91" i="2" s="1"/>
  <c r="AJ129" i="2"/>
  <c r="AJ103" i="2"/>
  <c r="AJ89" i="2" l="1"/>
  <c r="AJ150" i="2"/>
  <c r="AJ104" i="2"/>
  <c r="AJ107" i="2" s="1"/>
  <c r="AJ216" i="2"/>
  <c r="AJ148" i="2"/>
  <c r="AJ153" i="2"/>
  <c r="AJ154" i="2" s="1"/>
  <c r="AJ133" i="2"/>
  <c r="AJ136" i="2" s="1"/>
  <c r="AJ137" i="2" s="1"/>
  <c r="AJ105" i="2"/>
  <c r="AJ108" i="2" s="1"/>
  <c r="AJ106" i="2"/>
  <c r="AJ111" i="2" l="1"/>
  <c r="AJ114" i="2" s="1"/>
  <c r="AJ157" i="2"/>
  <c r="AJ141" i="2"/>
  <c r="AJ142" i="2" s="1"/>
  <c r="AJ110" i="2"/>
  <c r="AJ112" i="2" s="1"/>
  <c r="AJ115" i="2" s="1"/>
  <c r="AJ158" i="2"/>
  <c r="AJ118" i="2"/>
  <c r="AJ121" i="2" s="1"/>
  <c r="AJ113" i="2" l="1"/>
  <c r="AJ117" i="2"/>
  <c r="AJ119" i="2" s="1"/>
  <c r="AJ122" i="2" s="1"/>
  <c r="AJ1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JQ</author>
    <author>Petar Petrov</author>
    <author>John Qiu</author>
    <author>Clayton Tse</author>
    <author>yermit</author>
  </authors>
  <commentList>
    <comment ref="Z3" authorId="0" shapeId="0" xr:uid="{BF4AC4B0-9272-40EF-83A0-07FB56293121}">
      <text>
        <r>
          <rPr>
            <b/>
            <sz val="9"/>
            <color indexed="81"/>
            <rFont val="Tahoma"/>
            <family val="2"/>
          </rPr>
          <t>JQ:</t>
        </r>
        <r>
          <rPr>
            <sz val="9"/>
            <color indexed="81"/>
            <rFont val="Tahoma"/>
            <family val="2"/>
          </rPr>
          <t xml:space="preserve">
Agreed price last year was $800m so they amortise the difference over 5yrs as "JD business co-operation benefits"</t>
        </r>
      </text>
    </comment>
    <comment ref="G5" authorId="0" shapeId="0" xr:uid="{44D6A6DC-AAFA-4CE9-8D0E-A8D8D26D1198}">
      <text>
        <r>
          <rPr>
            <b/>
            <sz val="9"/>
            <color indexed="81"/>
            <rFont val="Tahoma"/>
            <family val="2"/>
          </rPr>
          <t>JQ:</t>
        </r>
        <r>
          <rPr>
            <sz val="9"/>
            <color indexed="81"/>
            <rFont val="Tahoma"/>
            <family val="2"/>
          </rPr>
          <t xml:space="preserve">
Agreed price last year was $800m so they amortise the difference over 5yrs as "JD business co-operation benefits"</t>
        </r>
      </text>
    </comment>
    <comment ref="G7" authorId="0" shapeId="0" xr:uid="{04F9DFF3-8680-418F-BA0B-3B52E614C4EF}">
      <text>
        <r>
          <rPr>
            <b/>
            <sz val="9"/>
            <color indexed="81"/>
            <rFont val="Tahoma"/>
            <family val="2"/>
          </rPr>
          <t>JQ:</t>
        </r>
        <r>
          <rPr>
            <sz val="9"/>
            <color indexed="81"/>
            <rFont val="Tahoma"/>
            <family val="2"/>
          </rPr>
          <t xml:space="preserve">
Post indepdent auditor review adjustments 2024.3</t>
        </r>
      </text>
    </comment>
    <comment ref="AC7" authorId="0" shapeId="0" xr:uid="{A1BA516E-041C-475E-AD99-FF77866563C4}">
      <text>
        <r>
          <rPr>
            <b/>
            <sz val="9"/>
            <color indexed="81"/>
            <rFont val="Tahoma"/>
            <family val="2"/>
          </rPr>
          <t>JQ:</t>
        </r>
        <r>
          <rPr>
            <sz val="9"/>
            <color indexed="81"/>
            <rFont val="Tahoma"/>
            <family val="2"/>
          </rPr>
          <t xml:space="preserve">
Post indepdent auditor review adjustments 2024.3</t>
        </r>
      </text>
    </comment>
    <comment ref="AD7" authorId="0" shapeId="0" xr:uid="{1E526856-E4F2-4379-AB3C-23660FA88020}">
      <text>
        <r>
          <rPr>
            <b/>
            <sz val="9"/>
            <color indexed="81"/>
            <rFont val="Tahoma"/>
            <family val="2"/>
          </rPr>
          <t>JQ:</t>
        </r>
        <r>
          <rPr>
            <sz val="9"/>
            <color indexed="81"/>
            <rFont val="Tahoma"/>
            <family val="2"/>
          </rPr>
          <t xml:space="preserve">
Post indepdent auditor review adjustments 2024.3</t>
        </r>
      </text>
    </comment>
    <comment ref="AE7" authorId="0" shapeId="0" xr:uid="{0612A7A7-AF46-4F90-A237-5E5D3EC8D3EB}">
      <text>
        <r>
          <rPr>
            <b/>
            <sz val="9"/>
            <color indexed="81"/>
            <rFont val="Tahoma"/>
            <family val="2"/>
          </rPr>
          <t>JQ:</t>
        </r>
        <r>
          <rPr>
            <sz val="9"/>
            <color indexed="81"/>
            <rFont val="Tahoma"/>
            <family val="2"/>
          </rPr>
          <t xml:space="preserve">
Post indepdent auditor review adjustments 2024.3</t>
        </r>
      </text>
    </comment>
    <comment ref="AF7" authorId="0" shapeId="0" xr:uid="{43BC1A1E-96DE-4FAC-A91B-6E31FE81A5C7}">
      <text>
        <r>
          <rPr>
            <b/>
            <sz val="9"/>
            <color indexed="81"/>
            <rFont val="Tahoma"/>
            <family val="2"/>
          </rPr>
          <t>JQ:</t>
        </r>
        <r>
          <rPr>
            <sz val="9"/>
            <color indexed="81"/>
            <rFont val="Tahoma"/>
            <family val="2"/>
          </rPr>
          <t xml:space="preserve">
Post indepdent auditor review adjustments 2024.3</t>
        </r>
      </text>
    </comment>
    <comment ref="W8" authorId="0" shapeId="0" xr:uid="{D54757C9-C801-4D1C-AF2F-F02D52206FC2}">
      <text>
        <r>
          <rPr>
            <b/>
            <sz val="9"/>
            <color indexed="81"/>
            <rFont val="Tahoma"/>
            <family val="2"/>
          </rPr>
          <t>JQ:</t>
        </r>
        <r>
          <rPr>
            <sz val="9"/>
            <color indexed="81"/>
            <rFont val="Tahoma"/>
            <family val="2"/>
          </rPr>
          <t xml:space="preserve">
Net of Rider Rev.  If on comparable basis Rev is RMB1.5bn (81.2% yoy growth)</t>
        </r>
      </text>
    </comment>
    <comment ref="X8" authorId="0" shapeId="0" xr:uid="{4207D2D4-8345-4D20-89F3-A047F3830A68}">
      <text>
        <r>
          <rPr>
            <b/>
            <sz val="9"/>
            <color indexed="81"/>
            <rFont val="Tahoma"/>
            <family val="2"/>
          </rPr>
          <t>JQ:</t>
        </r>
        <r>
          <rPr>
            <sz val="9"/>
            <color indexed="81"/>
            <rFont val="Tahoma"/>
            <family val="2"/>
          </rPr>
          <t xml:space="preserve">
RMB1,370m (90.5% yoy growth) on comparable basis</t>
        </r>
      </text>
    </comment>
    <comment ref="Y8" authorId="1" shapeId="0" xr:uid="{77CBDFD5-4672-4723-99C1-E3EAF0F215A7}">
      <text>
        <r>
          <rPr>
            <b/>
            <sz val="10"/>
            <color indexed="81"/>
            <rFont val="Arial"/>
            <family val="2"/>
          </rPr>
          <t>JQ</t>
        </r>
        <r>
          <rPr>
            <sz val="10"/>
            <rFont val="Arial"/>
            <family val="2"/>
          </rPr>
          <t>:
Revenue would have been RMB2,321m on a comparable basis (80.5% growth)</t>
        </r>
      </text>
    </comment>
    <comment ref="Z8" authorId="1" shapeId="0" xr:uid="{96B5972F-8768-4CBB-88BD-CF9232CE11C2}">
      <text>
        <r>
          <rPr>
            <b/>
            <sz val="9"/>
            <color indexed="81"/>
            <rFont val="Tahoma"/>
            <family val="2"/>
          </rPr>
          <t>JQ:</t>
        </r>
        <r>
          <rPr>
            <sz val="9"/>
            <color indexed="81"/>
            <rFont val="Tahoma"/>
            <family val="2"/>
          </rPr>
          <t xml:space="preserve">
Revenue would have been RMB1,444m on a comparable basis (61.5% growth)</t>
        </r>
      </text>
    </comment>
    <comment ref="F11" authorId="1" shapeId="0" xr:uid="{B00C0E40-E767-408A-A199-40F75B3BE08E}">
      <text>
        <r>
          <rPr>
            <b/>
            <sz val="10"/>
            <color indexed="81"/>
            <rFont val="Arial"/>
            <family val="2"/>
          </rPr>
          <t>JQ</t>
        </r>
        <r>
          <rPr>
            <sz val="10"/>
            <rFont val="Arial"/>
            <family val="2"/>
          </rPr>
          <t>:
82.7% growth on a comparable basis</t>
        </r>
      </text>
    </comment>
    <comment ref="G11" authorId="1" shapeId="0" xr:uid="{300144D2-963D-4EA4-A383-DC8E4A0ED86D}">
      <text>
        <r>
          <rPr>
            <b/>
            <sz val="9"/>
            <color indexed="81"/>
            <rFont val="Tahoma"/>
            <family val="2"/>
          </rPr>
          <t>JQ:</t>
        </r>
        <r>
          <rPr>
            <sz val="9"/>
            <color indexed="81"/>
            <rFont val="Tahoma"/>
            <family val="2"/>
          </rPr>
          <t xml:space="preserve">
42.7% growth on a comparable basis</t>
        </r>
      </text>
    </comment>
    <comment ref="W11" authorId="0" shapeId="0" xr:uid="{39DF3E49-AF14-4FA7-925D-75F059FBD390}">
      <text>
        <r>
          <rPr>
            <b/>
            <sz val="9"/>
            <color indexed="81"/>
            <rFont val="Tahoma"/>
            <family val="2"/>
          </rPr>
          <t>JQ:</t>
        </r>
        <r>
          <rPr>
            <sz val="9"/>
            <color indexed="81"/>
            <rFont val="Tahoma"/>
            <family val="2"/>
          </rPr>
          <t xml:space="preserve">
Growth rate 81.2% yoy on comparable basis</t>
        </r>
      </text>
    </comment>
    <comment ref="X11" authorId="0" shapeId="0" xr:uid="{F58E9B42-9151-4181-AD1D-247845BD313C}">
      <text>
        <r>
          <rPr>
            <b/>
            <sz val="9"/>
            <color indexed="81"/>
            <rFont val="Tahoma"/>
            <family val="2"/>
          </rPr>
          <t>JQ:</t>
        </r>
        <r>
          <rPr>
            <sz val="9"/>
            <color indexed="81"/>
            <rFont val="Tahoma"/>
            <family val="2"/>
          </rPr>
          <t xml:space="preserve">
90.5% yoy growth on comparable basis</t>
        </r>
      </text>
    </comment>
    <comment ref="Y11" authorId="1" shapeId="0" xr:uid="{59536A82-4929-4A5F-8F37-55451AB1BF58}">
      <text>
        <r>
          <rPr>
            <b/>
            <sz val="10"/>
            <color indexed="81"/>
            <rFont val="Arial"/>
            <family val="2"/>
          </rPr>
          <t>JQ</t>
        </r>
        <r>
          <rPr>
            <sz val="10"/>
            <rFont val="Arial"/>
            <family val="2"/>
          </rPr>
          <t>:
Revenue growth of 80.5% YoY on a comparable basis</t>
        </r>
      </text>
    </comment>
    <comment ref="Z11" authorId="1" shapeId="0" xr:uid="{F62EF67D-D716-4D7F-80EC-22E813E39F5D}">
      <text>
        <r>
          <rPr>
            <b/>
            <sz val="10"/>
            <color indexed="81"/>
            <rFont val="Arial"/>
            <family val="2"/>
          </rPr>
          <t>JQ</t>
        </r>
        <r>
          <rPr>
            <sz val="10"/>
            <rFont val="Arial"/>
            <family val="2"/>
          </rPr>
          <t>:
Revenue growth of 61.5% YoY on a comparable basis</t>
        </r>
      </text>
    </comment>
    <comment ref="F12" authorId="1" shapeId="0" xr:uid="{751B082B-C0CD-417A-B929-C9EA529681CD}">
      <text>
        <r>
          <rPr>
            <b/>
            <sz val="10"/>
            <color indexed="81"/>
            <rFont val="Arial"/>
            <family val="2"/>
          </rPr>
          <t>JQ</t>
        </r>
        <r>
          <rPr>
            <sz val="10"/>
            <rFont val="Arial"/>
            <family val="2"/>
          </rPr>
          <t>:
78% growth on comparable basis</t>
        </r>
      </text>
    </comment>
    <comment ref="G12" authorId="1" shapeId="0" xr:uid="{40050383-3277-4DD4-9F05-3877403B1FBE}">
      <text>
        <r>
          <rPr>
            <b/>
            <sz val="9"/>
            <color indexed="81"/>
            <rFont val="Tahoma"/>
            <family val="2"/>
          </rPr>
          <t>JQ:</t>
        </r>
        <r>
          <rPr>
            <sz val="9"/>
            <color indexed="81"/>
            <rFont val="Tahoma"/>
            <family val="2"/>
          </rPr>
          <t xml:space="preserve">
49% growth on a comparable basis</t>
        </r>
      </text>
    </comment>
    <comment ref="W12" authorId="0" shapeId="0" xr:uid="{3E3E8754-2AC3-482D-A017-FDA182197D50}">
      <text>
        <r>
          <rPr>
            <b/>
            <sz val="9"/>
            <color indexed="81"/>
            <rFont val="Tahoma"/>
            <family val="2"/>
          </rPr>
          <t>JQ:</t>
        </r>
        <r>
          <rPr>
            <sz val="9"/>
            <color indexed="81"/>
            <rFont val="Tahoma"/>
            <family val="2"/>
          </rPr>
          <t xml:space="preserve">
81% yoy growth on comparable basis (reverse DADA Now's accounting)</t>
        </r>
      </text>
    </comment>
    <comment ref="X12" authorId="0" shapeId="0" xr:uid="{F854F755-E0F7-4610-9A3F-183A8BF729A8}">
      <text>
        <r>
          <rPr>
            <b/>
            <sz val="9"/>
            <color indexed="81"/>
            <rFont val="Tahoma"/>
            <family val="2"/>
          </rPr>
          <t>JQ:</t>
        </r>
        <r>
          <rPr>
            <sz val="9"/>
            <color indexed="81"/>
            <rFont val="Tahoma"/>
            <family val="2"/>
          </rPr>
          <t xml:space="preserve">
88% growth yoy comparable basis</t>
        </r>
      </text>
    </comment>
    <comment ref="Y12" authorId="1" shapeId="0" xr:uid="{032FA7C8-4113-4E29-AB01-A640FFBC7015}">
      <text>
        <r>
          <rPr>
            <b/>
            <sz val="10"/>
            <color indexed="81"/>
            <rFont val="Arial"/>
            <family val="2"/>
          </rPr>
          <t>JQ</t>
        </r>
        <r>
          <rPr>
            <sz val="10"/>
            <rFont val="Arial"/>
            <family val="2"/>
          </rPr>
          <t>:
80.5% growth on a comparable basis</t>
        </r>
      </text>
    </comment>
    <comment ref="Z12" authorId="1" shapeId="0" xr:uid="{6BF82657-EC8E-4FCF-8378-803586905766}">
      <text>
        <r>
          <rPr>
            <b/>
            <sz val="10"/>
            <color indexed="81"/>
            <rFont val="Arial"/>
            <family val="2"/>
          </rPr>
          <t>JQ</t>
        </r>
        <r>
          <rPr>
            <sz val="10"/>
            <rFont val="Arial"/>
            <family val="2"/>
          </rPr>
          <t>:
70.1% growth on a comparable basis</t>
        </r>
      </text>
    </comment>
    <comment ref="G19" authorId="0" shapeId="0" xr:uid="{14D03E3C-B2FC-48E4-BAEB-22173F7E7BE3}">
      <text>
        <r>
          <rPr>
            <b/>
            <sz val="9"/>
            <color indexed="81"/>
            <rFont val="Tahoma"/>
            <family val="2"/>
          </rPr>
          <t>JQ:</t>
        </r>
        <r>
          <rPr>
            <sz val="9"/>
            <color indexed="81"/>
            <rFont val="Tahoma"/>
            <family val="2"/>
          </rPr>
          <t xml:space="preserve">
Post indepdent auditor review adjustments 2024.3</t>
        </r>
      </text>
    </comment>
    <comment ref="AC19" authorId="0" shapeId="0" xr:uid="{9D18B190-D9E7-4B51-AA58-D1B4B9A1E55A}">
      <text>
        <r>
          <rPr>
            <b/>
            <sz val="9"/>
            <color indexed="81"/>
            <rFont val="Tahoma"/>
            <family val="2"/>
          </rPr>
          <t>JQ:</t>
        </r>
        <r>
          <rPr>
            <sz val="9"/>
            <color indexed="81"/>
            <rFont val="Tahoma"/>
            <family val="2"/>
          </rPr>
          <t xml:space="preserve">
Post indepdent auditor review adjustments 2024.3</t>
        </r>
      </text>
    </comment>
    <comment ref="AD19" authorId="0" shapeId="0" xr:uid="{1B546574-A036-4541-BFED-BB497086F34B}">
      <text>
        <r>
          <rPr>
            <b/>
            <sz val="9"/>
            <color indexed="81"/>
            <rFont val="Tahoma"/>
            <family val="2"/>
          </rPr>
          <t>JQ:</t>
        </r>
        <r>
          <rPr>
            <sz val="9"/>
            <color indexed="81"/>
            <rFont val="Tahoma"/>
            <family val="2"/>
          </rPr>
          <t xml:space="preserve">
Post indepdent auditor review adjustments 2024.3</t>
        </r>
      </text>
    </comment>
    <comment ref="AE19" authorId="0" shapeId="0" xr:uid="{074B8082-0438-465C-AC50-2AA3745CD655}">
      <text>
        <r>
          <rPr>
            <b/>
            <sz val="9"/>
            <color indexed="81"/>
            <rFont val="Tahoma"/>
            <family val="2"/>
          </rPr>
          <t>JQ:</t>
        </r>
        <r>
          <rPr>
            <sz val="9"/>
            <color indexed="81"/>
            <rFont val="Tahoma"/>
            <family val="2"/>
          </rPr>
          <t xml:space="preserve">
Post indepdent auditor review adjustments 2024.3</t>
        </r>
      </text>
    </comment>
    <comment ref="AF19" authorId="0" shapeId="0" xr:uid="{A4F1D710-139E-40FA-B30A-B767B243AF8B}">
      <text>
        <r>
          <rPr>
            <b/>
            <sz val="9"/>
            <color indexed="81"/>
            <rFont val="Tahoma"/>
            <family val="2"/>
          </rPr>
          <t>JQ:</t>
        </r>
        <r>
          <rPr>
            <sz val="9"/>
            <color indexed="81"/>
            <rFont val="Tahoma"/>
            <family val="2"/>
          </rPr>
          <t xml:space="preserve">
Post indepdent auditor review adjustments 2024.3</t>
        </r>
      </text>
    </comment>
    <comment ref="A20" authorId="2" shapeId="0" xr:uid="{7057762D-B54D-4EAE-82E7-070D1D3E0C66}">
      <text>
        <r>
          <rPr>
            <b/>
            <sz val="9"/>
            <color indexed="81"/>
            <rFont val="Tahoma"/>
            <family val="2"/>
          </rPr>
          <t>JQ:</t>
        </r>
        <r>
          <rPr>
            <sz val="9"/>
            <color indexed="81"/>
            <rFont val="Tahoma"/>
            <family val="2"/>
          </rPr>
          <t xml:space="preserve">
Purchase of products sold on DADA Now</t>
        </r>
      </text>
    </comment>
    <comment ref="E21" authorId="0" shapeId="0" xr:uid="{8B65F303-4F9F-464A-9EED-274E5D83248A}">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21" authorId="0" shapeId="0" xr:uid="{4969C8A2-5A00-4773-9F15-444CE9EDFDB6}">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21" authorId="0" shapeId="0" xr:uid="{D3103E36-CAFF-42BA-A318-155765F995F5}">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E22" authorId="0" shapeId="0" xr:uid="{877B6987-B7D8-401A-A94E-35F216BFEC72}">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22" authorId="0" shapeId="0" xr:uid="{4CDE87A4-040A-4CD3-90BF-EE6C90880DCE}">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22" authorId="0" shapeId="0" xr:uid="{0D9C7F05-AE4E-42B7-88C3-4740A15EC9C2}">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E23" authorId="0" shapeId="0" xr:uid="{D5534D24-FFC3-41A7-940A-E02C62465465}">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23" authorId="0" shapeId="0" xr:uid="{64DB30D7-1410-470A-8961-CB21FD670DFA}">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23" authorId="0" shapeId="0" xr:uid="{DF93036D-DC6E-471C-AAEB-71CE1692B35A}">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AJ23" authorId="2" shapeId="0" xr:uid="{8AED04EC-7240-4190-A598-827EFC4DC199}">
      <text>
        <r>
          <rPr>
            <b/>
            <sz val="9"/>
            <color indexed="81"/>
            <rFont val="Tahoma"/>
            <family val="2"/>
          </rPr>
          <t>JQ:</t>
        </r>
        <r>
          <rPr>
            <sz val="9"/>
            <color indexed="81"/>
            <rFont val="Tahoma"/>
            <family val="2"/>
          </rPr>
          <t xml:space="preserve">
Excluding one-off legal and credit provisions ~RMB60m</t>
        </r>
      </text>
    </comment>
    <comment ref="C36" authorId="0" shapeId="0" xr:uid="{B8E43E29-4D94-409E-9C3C-F2FD07C93126}">
      <text>
        <r>
          <rPr>
            <b/>
            <sz val="9"/>
            <color indexed="81"/>
            <rFont val="Tahoma"/>
            <family val="2"/>
          </rPr>
          <t>JQ:</t>
        </r>
        <r>
          <rPr>
            <sz val="9"/>
            <color indexed="81"/>
            <rFont val="Tahoma"/>
            <family val="2"/>
          </rPr>
          <t xml:space="preserve">
Pre-2020 IPO, this is accretion of Convertible Pref shares.  Doesn't exist post IPO</t>
        </r>
      </text>
    </comment>
    <comment ref="D36" authorId="0" shapeId="0" xr:uid="{53B97269-91D8-4D4A-AB8F-0A082EBA501F}">
      <text>
        <r>
          <rPr>
            <b/>
            <sz val="9"/>
            <color indexed="81"/>
            <rFont val="Tahoma"/>
            <family val="2"/>
          </rPr>
          <t>JQ:</t>
        </r>
        <r>
          <rPr>
            <sz val="9"/>
            <color indexed="81"/>
            <rFont val="Tahoma"/>
            <family val="2"/>
          </rPr>
          <t xml:space="preserve">
Pre-2020 IPO, this is accretion of Convertible Pref shares.  Doesn't exist post IPO</t>
        </r>
      </text>
    </comment>
    <comment ref="E36" authorId="0" shapeId="0" xr:uid="{7DC212FB-9961-4236-AA61-B73B6ACAE581}">
      <text>
        <r>
          <rPr>
            <b/>
            <sz val="9"/>
            <color indexed="81"/>
            <rFont val="Tahoma"/>
            <family val="2"/>
          </rPr>
          <t>JQ:</t>
        </r>
        <r>
          <rPr>
            <sz val="9"/>
            <color indexed="81"/>
            <rFont val="Tahoma"/>
            <family val="2"/>
          </rPr>
          <t xml:space="preserve">
-RMB376m accretion of Convertible Pref shares
-RMB131.3m employees, -RMB34.2m SBC related to IPO (pg170 AR2020)</t>
        </r>
      </text>
    </comment>
    <comment ref="H36" authorId="0" shapeId="0" xr:uid="{7BCA78B1-23FE-41AD-A3B2-8FDAEE172874}">
      <text>
        <r>
          <rPr>
            <b/>
            <sz val="9"/>
            <color indexed="81"/>
            <rFont val="Tahoma"/>
            <family val="2"/>
          </rPr>
          <t>JQ:</t>
        </r>
        <r>
          <rPr>
            <sz val="9"/>
            <color indexed="81"/>
            <rFont val="Tahoma"/>
            <family val="2"/>
          </rPr>
          <t xml:space="preserve">
Impairment of goodwill for JDDJ (original acquisition from JD in 2016)</t>
        </r>
      </text>
    </comment>
    <comment ref="S36" authorId="0" shapeId="0" xr:uid="{E0A81910-38AA-4597-8969-4C1371F9119B}">
      <text>
        <r>
          <rPr>
            <b/>
            <sz val="9"/>
            <color indexed="81"/>
            <rFont val="Tahoma"/>
            <family val="2"/>
          </rPr>
          <t>JQ:</t>
        </r>
        <r>
          <rPr>
            <sz val="9"/>
            <color indexed="81"/>
            <rFont val="Tahoma"/>
            <family val="2"/>
          </rPr>
          <t xml:space="preserve">
Inc -RMB126.6m SBC related to IPO (pg6 2020Q2)</t>
        </r>
      </text>
    </comment>
    <comment ref="U36" authorId="0" shapeId="0" xr:uid="{9D0F465F-1BF8-4F7B-8D4A-CA1DC79C6C6C}">
      <text>
        <r>
          <rPr>
            <b/>
            <sz val="9"/>
            <color indexed="81"/>
            <rFont val="Tahoma"/>
            <family val="2"/>
          </rPr>
          <t>JQ:</t>
        </r>
        <r>
          <rPr>
            <sz val="9"/>
            <color indexed="81"/>
            <rFont val="Tahoma"/>
            <family val="2"/>
          </rPr>
          <t xml:space="preserve">
RMB38.9m: represents remainder of the one-off SBC not accounted for in 2Q20</t>
        </r>
      </text>
    </comment>
    <comment ref="AG36" authorId="0" shapeId="0" xr:uid="{1F7905C9-FC9F-456C-BDFF-9CE9D01C46FB}">
      <text>
        <r>
          <rPr>
            <b/>
            <sz val="9"/>
            <color indexed="81"/>
            <rFont val="Tahoma"/>
            <family val="2"/>
          </rPr>
          <t>JQ:</t>
        </r>
        <r>
          <rPr>
            <sz val="9"/>
            <color indexed="81"/>
            <rFont val="Tahoma"/>
            <family val="2"/>
          </rPr>
          <t xml:space="preserve">
Impairment loss of goodwill for JDDJ (original acquisition from JD in 2016)</t>
        </r>
      </text>
    </comment>
    <comment ref="AJ36" authorId="2" shapeId="0" xr:uid="{7AC17EC1-7B76-4DAE-A83A-9EDDE8A7BCB4}">
      <text>
        <r>
          <rPr>
            <b/>
            <sz val="9"/>
            <color indexed="81"/>
            <rFont val="Tahoma"/>
            <family val="2"/>
          </rPr>
          <t>JQ:</t>
        </r>
        <r>
          <rPr>
            <sz val="9"/>
            <color indexed="81"/>
            <rFont val="Tahoma"/>
            <family val="2"/>
          </rPr>
          <t xml:space="preserve">
Estimate.  CFO commented that G&amp;A was roughly the same ex legal and credit provisions</t>
        </r>
      </text>
    </comment>
    <comment ref="E43" authorId="0" shapeId="0" xr:uid="{CFF4C401-2519-4E56-99D6-26BB48BDB5B7}">
      <text>
        <r>
          <rPr>
            <b/>
            <sz val="9"/>
            <color indexed="81"/>
            <rFont val="Tahoma"/>
            <family val="2"/>
          </rPr>
          <t>JQ:</t>
        </r>
        <r>
          <rPr>
            <sz val="9"/>
            <color indexed="81"/>
            <rFont val="Tahoma"/>
            <family val="2"/>
          </rPr>
          <t xml:space="preserve">
Actual number of shares at year end</t>
        </r>
      </text>
    </comment>
    <comment ref="S43" authorId="0" shapeId="0" xr:uid="{5F60AD63-18E8-4195-99F1-1B766F125455}">
      <text>
        <r>
          <rPr>
            <b/>
            <sz val="9"/>
            <color indexed="81"/>
            <rFont val="Tahoma"/>
            <family val="2"/>
          </rPr>
          <t>JQ:</t>
        </r>
        <r>
          <rPr>
            <sz val="9"/>
            <color indexed="81"/>
            <rFont val="Tahoma"/>
            <family val="2"/>
          </rPr>
          <t xml:space="preserve">
Actual number of shares at year end</t>
        </r>
      </text>
    </comment>
    <comment ref="E46" authorId="0" shapeId="0" xr:uid="{33854705-A8F7-4E5D-849E-7A8025DFD97C}">
      <text>
        <r>
          <rPr>
            <b/>
            <sz val="9"/>
            <color indexed="81"/>
            <rFont val="Tahoma"/>
            <family val="2"/>
          </rPr>
          <t>JQ:</t>
        </r>
        <r>
          <rPr>
            <sz val="9"/>
            <color indexed="81"/>
            <rFont val="Tahoma"/>
            <family val="2"/>
          </rPr>
          <t xml:space="preserve">
Includes 131.3+ 34.2=165.5m of one-off SBC</t>
        </r>
      </text>
    </comment>
    <comment ref="S46" authorId="0" shapeId="0" xr:uid="{8DF563E2-ABF9-4BBA-BA92-94317687D022}">
      <text>
        <r>
          <rPr>
            <b/>
            <sz val="9"/>
            <color indexed="81"/>
            <rFont val="Tahoma"/>
            <family val="2"/>
          </rPr>
          <t>JQ:</t>
        </r>
        <r>
          <rPr>
            <sz val="9"/>
            <color indexed="81"/>
            <rFont val="Tahoma"/>
            <family val="2"/>
          </rPr>
          <t xml:space="preserve">
This includes one-off SBC RMB126.6m related to IPO </t>
        </r>
      </text>
    </comment>
    <comment ref="U46" authorId="0" shapeId="0" xr:uid="{A40C9618-35E0-4461-A201-3D39F85C15B1}">
      <text>
        <r>
          <rPr>
            <b/>
            <sz val="9"/>
            <color indexed="81"/>
            <rFont val="Tahoma"/>
            <family val="2"/>
          </rPr>
          <t>JQ:</t>
        </r>
        <r>
          <rPr>
            <sz val="9"/>
            <color indexed="81"/>
            <rFont val="Tahoma"/>
            <family val="2"/>
          </rPr>
          <t xml:space="preserve">
Inc balance of one-off SBC not already deducted out in 2Q20: (131.3+34.2)-126.6=RMB38.9m</t>
        </r>
      </text>
    </comment>
    <comment ref="I64" authorId="2" shapeId="0" xr:uid="{5C5A157C-875E-4687-992F-D296262F161C}">
      <text>
        <r>
          <rPr>
            <b/>
            <sz val="9"/>
            <color indexed="81"/>
            <rFont val="Tahoma"/>
            <family val="2"/>
          </rPr>
          <t>JQ:</t>
        </r>
        <r>
          <rPr>
            <sz val="9"/>
            <color indexed="81"/>
            <rFont val="Tahoma"/>
            <family val="2"/>
          </rPr>
          <t xml:space="preserve">
Non-GAAP Normalised NPAT is a fairly good proxy for FCF: total difference only RMB218m over 7yrs (~2% overstated)</t>
        </r>
      </text>
    </comment>
    <comment ref="G69" authorId="0" shapeId="0" xr:uid="{C43D7F1E-CC8F-4CA6-ACE1-D65D33A209E9}">
      <text>
        <r>
          <rPr>
            <b/>
            <sz val="9"/>
            <color indexed="81"/>
            <rFont val="Tahoma"/>
            <family val="2"/>
          </rPr>
          <t>JQ:</t>
        </r>
        <r>
          <rPr>
            <sz val="9"/>
            <color indexed="81"/>
            <rFont val="Tahoma"/>
            <family val="2"/>
          </rPr>
          <t xml:space="preserve">
Post indepdent auditor review adjustments 2024.3</t>
        </r>
      </text>
    </comment>
    <comment ref="W69" authorId="0" shapeId="0" xr:uid="{39065A08-AD0F-435C-8E1D-873E27D1712C}">
      <text>
        <r>
          <rPr>
            <b/>
            <sz val="9"/>
            <color indexed="81"/>
            <rFont val="Tahoma"/>
            <family val="2"/>
          </rPr>
          <t>JQ:</t>
        </r>
        <r>
          <rPr>
            <sz val="9"/>
            <color indexed="81"/>
            <rFont val="Tahoma"/>
            <family val="2"/>
          </rPr>
          <t xml:space="preserve">
2Q21 start excluding DADA Now Rider costs.  If inc, add RMB930m</t>
        </r>
      </text>
    </comment>
    <comment ref="AC69" authorId="0" shapeId="0" xr:uid="{AE2CFE62-42DB-45C7-9564-4DA6E3FF8248}">
      <text>
        <r>
          <rPr>
            <b/>
            <sz val="9"/>
            <color indexed="81"/>
            <rFont val="Tahoma"/>
            <family val="2"/>
          </rPr>
          <t>JQ:</t>
        </r>
        <r>
          <rPr>
            <sz val="9"/>
            <color indexed="81"/>
            <rFont val="Tahoma"/>
            <family val="2"/>
          </rPr>
          <t xml:space="preserve">
Post indepdent auditor review adjustments 2024.3</t>
        </r>
      </text>
    </comment>
    <comment ref="AD69" authorId="0" shapeId="0" xr:uid="{6173316A-5F31-4031-A232-4052DC6954FC}">
      <text>
        <r>
          <rPr>
            <b/>
            <sz val="9"/>
            <color indexed="81"/>
            <rFont val="Tahoma"/>
            <family val="2"/>
          </rPr>
          <t>JQ:</t>
        </r>
        <r>
          <rPr>
            <sz val="9"/>
            <color indexed="81"/>
            <rFont val="Tahoma"/>
            <family val="2"/>
          </rPr>
          <t xml:space="preserve">
Post indepdent auditor review adjustments 2024.3</t>
        </r>
      </text>
    </comment>
    <comment ref="AE69" authorId="0" shapeId="0" xr:uid="{33A69833-6925-4BC7-A896-8B2496E52ACD}">
      <text>
        <r>
          <rPr>
            <b/>
            <sz val="9"/>
            <color indexed="81"/>
            <rFont val="Tahoma"/>
            <family val="2"/>
          </rPr>
          <t>JQ:</t>
        </r>
        <r>
          <rPr>
            <sz val="9"/>
            <color indexed="81"/>
            <rFont val="Tahoma"/>
            <family val="2"/>
          </rPr>
          <t xml:space="preserve">
Post indepdent auditor review adjustments 2024.3</t>
        </r>
      </text>
    </comment>
    <comment ref="AF69" authorId="0" shapeId="0" xr:uid="{3A988090-A930-4886-A2F8-2B9E1EFBF08B}">
      <text>
        <r>
          <rPr>
            <b/>
            <sz val="9"/>
            <color indexed="81"/>
            <rFont val="Tahoma"/>
            <family val="2"/>
          </rPr>
          <t>JQ:</t>
        </r>
        <r>
          <rPr>
            <sz val="9"/>
            <color indexed="81"/>
            <rFont val="Tahoma"/>
            <family val="2"/>
          </rPr>
          <t xml:space="preserve">
Post indepdent auditor review adjustments 2024.3</t>
        </r>
      </text>
    </comment>
    <comment ref="A74" authorId="0" shapeId="0" xr:uid="{556E2ECE-C0CB-4484-8F34-ADD4C6D6AA1B}">
      <text>
        <r>
          <rPr>
            <b/>
            <sz val="9"/>
            <color indexed="81"/>
            <rFont val="Tahoma"/>
            <family val="2"/>
          </rPr>
          <t>JQ:</t>
        </r>
        <r>
          <rPr>
            <sz val="9"/>
            <color indexed="81"/>
            <rFont val="Tahoma"/>
            <family val="2"/>
          </rPr>
          <t xml:space="preserve">
JD BCA: RMB1,605.8m amortized straight-line 5yrs (pg182 FY22)</t>
        </r>
      </text>
    </comment>
    <comment ref="Z74" authorId="0" shapeId="0" xr:uid="{8F16C130-8911-454B-99ED-582380020D2C}">
      <text>
        <r>
          <rPr>
            <b/>
            <sz val="9"/>
            <color indexed="81"/>
            <rFont val="Tahoma"/>
            <family val="2"/>
          </rPr>
          <t>JQ:</t>
        </r>
        <r>
          <rPr>
            <sz val="9"/>
            <color indexed="81"/>
            <rFont val="Tahoma"/>
            <family val="2"/>
          </rPr>
          <t xml:space="preserve">
Implied from FY22 - JD amortisation didn't start exactly at beginning of year</t>
        </r>
      </text>
    </comment>
    <comment ref="E76" authorId="0" shapeId="0" xr:uid="{F2EADDCB-86A2-4370-8851-18A38093CC4A}">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76" authorId="0" shapeId="0" xr:uid="{CAD1A71E-786F-4CB0-90A7-FBDF25F5276B}">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76" authorId="0" shapeId="0" xr:uid="{C4C91346-266D-4DC3-8125-FFA3FCFB395D}">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U78" authorId="0" shapeId="0" xr:uid="{0B292FDD-73F1-48D2-BA63-D6DCD53DAB4A}">
      <text>
        <r>
          <rPr>
            <b/>
            <sz val="9"/>
            <color indexed="81"/>
            <rFont val="Tahoma"/>
            <family val="2"/>
          </rPr>
          <t>JQ:</t>
        </r>
        <r>
          <rPr>
            <sz val="9"/>
            <color indexed="81"/>
            <rFont val="Tahoma"/>
            <family val="2"/>
          </rPr>
          <t xml:space="preserve">
2021Q4 transcript</t>
        </r>
      </text>
    </comment>
    <comment ref="V78" authorId="0" shapeId="0" xr:uid="{820CF8DE-C10D-44FE-A68E-E2C6102B0570}">
      <text>
        <r>
          <rPr>
            <b/>
            <sz val="9"/>
            <color indexed="81"/>
            <rFont val="Tahoma"/>
            <family val="2"/>
          </rPr>
          <t>JQ:</t>
        </r>
        <r>
          <rPr>
            <sz val="9"/>
            <color indexed="81"/>
            <rFont val="Tahoma"/>
            <family val="2"/>
          </rPr>
          <t xml:space="preserve">
IR comments</t>
        </r>
      </text>
    </comment>
    <comment ref="X78" authorId="0" shapeId="0" xr:uid="{5F6028F4-48BE-44B8-9E93-AE72E37F8D8A}">
      <text>
        <r>
          <rPr>
            <b/>
            <sz val="9"/>
            <color indexed="81"/>
            <rFont val="Tahoma"/>
            <family val="2"/>
          </rPr>
          <t>JQ:</t>
        </r>
        <r>
          <rPr>
            <sz val="9"/>
            <color indexed="81"/>
            <rFont val="Tahoma"/>
            <family val="2"/>
          </rPr>
          <t xml:space="preserve">
2021Q3 call transcript</t>
        </r>
      </text>
    </comment>
    <comment ref="Y78" authorId="0" shapeId="0" xr:uid="{06923E01-EDE4-478F-B175-1AE949020019}">
      <text>
        <r>
          <rPr>
            <b/>
            <sz val="9"/>
            <color indexed="81"/>
            <rFont val="Tahoma"/>
            <family val="2"/>
          </rPr>
          <t>JQ:</t>
        </r>
        <r>
          <rPr>
            <sz val="9"/>
            <color indexed="81"/>
            <rFont val="Tahoma"/>
            <family val="2"/>
          </rPr>
          <t xml:space="preserve">
2021Q4 transcript</t>
        </r>
      </text>
    </comment>
    <comment ref="Z78" authorId="0" shapeId="0" xr:uid="{CF7631B4-1DD6-4B22-BCB3-8B621A420D13}">
      <text>
        <r>
          <rPr>
            <b/>
            <sz val="9"/>
            <color indexed="81"/>
            <rFont val="Tahoma"/>
            <family val="2"/>
          </rPr>
          <t>JQ:</t>
        </r>
        <r>
          <rPr>
            <sz val="9"/>
            <color indexed="81"/>
            <rFont val="Tahoma"/>
            <family val="2"/>
          </rPr>
          <t xml:space="preserve">
IR comments</t>
        </r>
      </text>
    </comment>
    <comment ref="AA78" authorId="0" shapeId="0" xr:uid="{A237BEAD-C5A3-47F1-AA3A-BD35B8420449}">
      <text>
        <r>
          <rPr>
            <b/>
            <sz val="9"/>
            <color indexed="81"/>
            <rFont val="Tahoma"/>
            <family val="2"/>
          </rPr>
          <t>JQ:</t>
        </r>
        <r>
          <rPr>
            <sz val="9"/>
            <color indexed="81"/>
            <rFont val="Tahoma"/>
            <family val="2"/>
          </rPr>
          <t xml:space="preserve">
2022Q2 earnings transcipt</t>
        </r>
      </text>
    </comment>
    <comment ref="AB78" authorId="0" shapeId="0" xr:uid="{957AA09F-5DC0-4C5E-9A70-D67822FF883F}">
      <text>
        <r>
          <rPr>
            <b/>
            <sz val="9"/>
            <color indexed="81"/>
            <rFont val="Tahoma"/>
            <family val="2"/>
          </rPr>
          <t>JQ:</t>
        </r>
        <r>
          <rPr>
            <sz val="9"/>
            <color indexed="81"/>
            <rFont val="Tahoma"/>
            <family val="2"/>
          </rPr>
          <t xml:space="preserve">
IR comment</t>
        </r>
      </text>
    </comment>
    <comment ref="AD78" authorId="0" shapeId="0" xr:uid="{0406A9D9-D778-42D4-89A8-4946ED7BA088}">
      <text>
        <r>
          <rPr>
            <b/>
            <sz val="9"/>
            <color indexed="81"/>
            <rFont val="Tahoma"/>
            <family val="2"/>
          </rPr>
          <t>JQ:</t>
        </r>
        <r>
          <rPr>
            <sz val="9"/>
            <color indexed="81"/>
            <rFont val="Tahoma"/>
            <family val="2"/>
          </rPr>
          <t xml:space="preserve">
Restated incentive ratios</t>
        </r>
      </text>
    </comment>
    <comment ref="AE78" authorId="0" shapeId="0" xr:uid="{9AD3DCD7-EE2E-483C-9AC2-475E0D72F39A}">
      <text>
        <r>
          <rPr>
            <b/>
            <sz val="9"/>
            <color indexed="81"/>
            <rFont val="Tahoma"/>
            <family val="2"/>
          </rPr>
          <t>JQ:</t>
        </r>
        <r>
          <rPr>
            <sz val="9"/>
            <color indexed="81"/>
            <rFont val="Tahoma"/>
            <family val="2"/>
          </rPr>
          <t xml:space="preserve">
Restated incentive ratios</t>
        </r>
      </text>
    </comment>
    <comment ref="AF78" authorId="0" shapeId="0" xr:uid="{0FD8FF56-D4E9-4B7A-AD10-C3BA618732DA}">
      <text>
        <r>
          <rPr>
            <b/>
            <sz val="9"/>
            <color indexed="81"/>
            <rFont val="Tahoma"/>
            <family val="2"/>
          </rPr>
          <t>JQ:</t>
        </r>
        <r>
          <rPr>
            <sz val="9"/>
            <color indexed="81"/>
            <rFont val="Tahoma"/>
            <family val="2"/>
          </rPr>
          <t xml:space="preserve">
Restated incentive ratios</t>
        </r>
      </text>
    </comment>
    <comment ref="AH78" authorId="3" shapeId="0" xr:uid="{01E4337F-FB0A-464E-BC53-3B48A055B626}">
      <text>
        <r>
          <rPr>
            <b/>
            <sz val="9"/>
            <color indexed="81"/>
            <rFont val="Tahoma"/>
            <family val="2"/>
          </rPr>
          <t>JQ:</t>
        </r>
        <r>
          <rPr>
            <sz val="9"/>
            <color indexed="81"/>
            <rFont val="Tahoma"/>
            <family val="2"/>
          </rPr>
          <t xml:space="preserve">
IR said between 2 to 2.5%</t>
        </r>
      </text>
    </comment>
    <comment ref="E80" authorId="0" shapeId="0" xr:uid="{44E1E406-AC53-4930-8987-551B200F2757}">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80" authorId="0" shapeId="0" xr:uid="{C4B10616-FFAB-4017-BDF4-A4EE5C08E636}">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80" authorId="0" shapeId="0" xr:uid="{5487D415-D999-4E44-ADCA-BB79BA72D8B9}">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B82" authorId="0" shapeId="0" xr:uid="{72F5061F-8ECD-41A7-9E37-EB78F8C7E52A}">
      <text>
        <r>
          <rPr>
            <b/>
            <sz val="9"/>
            <color indexed="81"/>
            <rFont val="Tahoma"/>
            <family val="2"/>
          </rPr>
          <t>JQ:</t>
        </r>
        <r>
          <rPr>
            <sz val="9"/>
            <color indexed="81"/>
            <rFont val="Tahoma"/>
            <family val="2"/>
          </rPr>
          <t xml:space="preserve">
Prospectus pg 93</t>
        </r>
      </text>
    </comment>
    <comment ref="I82" authorId="0" shapeId="0" xr:uid="{62504BCA-EE3D-42F8-8F03-B410500377A1}">
      <text>
        <r>
          <rPr>
            <b/>
            <sz val="9"/>
            <color indexed="81"/>
            <rFont val="Tahoma"/>
            <family val="2"/>
          </rPr>
          <t>JQ:</t>
        </r>
        <r>
          <rPr>
            <sz val="9"/>
            <color indexed="81"/>
            <rFont val="Tahoma"/>
            <family val="2"/>
          </rPr>
          <t xml:space="preserve">
FY2017 (JD subsidiaries financials).  NCA ~RMB541m amort finishes 2023, BCA RMB435m finishes 2023-2026</t>
        </r>
      </text>
    </comment>
    <comment ref="E84" authorId="0" shapeId="0" xr:uid="{0A842965-7648-44A4-A7A6-B792D5CD39B3}">
      <text>
        <r>
          <rPr>
            <b/>
            <sz val="9"/>
            <color indexed="81"/>
            <rFont val="Tahoma"/>
            <family val="2"/>
          </rPr>
          <t>JQ:</t>
        </r>
        <r>
          <rPr>
            <sz val="9"/>
            <color indexed="81"/>
            <rFont val="Tahoma"/>
            <family val="2"/>
          </rPr>
          <t xml:space="preserve">
No SBC split between cost items.  One-off IPO related SBC (-RMB131.3m and -RMB34.2m) is adjusted assuming 1/3 allocation to each: S&amp;M, R&amp;D, G&amp;A costs</t>
        </r>
      </text>
    </comment>
    <comment ref="S84" authorId="0" shapeId="0" xr:uid="{5856AF7F-3ED0-4811-9DD9-EDA53D498DDE}">
      <text>
        <r>
          <rPr>
            <b/>
            <sz val="9"/>
            <color indexed="81"/>
            <rFont val="Tahoma"/>
            <family val="2"/>
          </rPr>
          <t>JQ:</t>
        </r>
        <r>
          <rPr>
            <sz val="9"/>
            <color indexed="81"/>
            <rFont val="Tahoma"/>
            <family val="2"/>
          </rPr>
          <t xml:space="preserve">
Ex -RMB126.6m SBC related to IPO (2020Q2 pg6). ASSUME 1/3 allocation to each: S&amp;M, R&amp;D, G&amp;A segments</t>
        </r>
      </text>
    </comment>
    <comment ref="U84" authorId="0" shapeId="0" xr:uid="{8F400F4B-3EF4-43F5-BDCF-D1FF569EF46E}">
      <text>
        <r>
          <rPr>
            <b/>
            <sz val="9"/>
            <color indexed="81"/>
            <rFont val="Tahoma"/>
            <family val="2"/>
          </rPr>
          <t>JQ:</t>
        </r>
        <r>
          <rPr>
            <sz val="9"/>
            <color indexed="81"/>
            <rFont val="Tahoma"/>
            <family val="2"/>
          </rPr>
          <t xml:space="preserve">
Remainder of annual one-off SBC (131.3+34.2) not decuted in 2Q20 (126.6) deducted evenly across the opex</t>
        </r>
      </text>
    </comment>
    <comment ref="AJ84" authorId="2" shapeId="0" xr:uid="{C4799561-2142-4967-B737-2AC19308096C}">
      <text>
        <r>
          <rPr>
            <b/>
            <sz val="9"/>
            <color indexed="81"/>
            <rFont val="Tahoma"/>
            <family val="2"/>
          </rPr>
          <t>JQ:</t>
        </r>
        <r>
          <rPr>
            <sz val="9"/>
            <color indexed="81"/>
            <rFont val="Tahoma"/>
            <family val="2"/>
          </rPr>
          <t xml:space="preserve">
Estimate.  CFO said G&amp;A roughly the same excluding the legal and credit provisions</t>
        </r>
      </text>
    </comment>
    <comment ref="G96" authorId="0" shapeId="0" xr:uid="{ACDCB7A3-0FE4-459C-AB1D-B08EFA111CF1}">
      <text>
        <r>
          <rPr>
            <b/>
            <sz val="9"/>
            <color indexed="81"/>
            <rFont val="Tahoma"/>
            <family val="2"/>
          </rPr>
          <t>JQ:</t>
        </r>
        <r>
          <rPr>
            <sz val="9"/>
            <color indexed="81"/>
            <rFont val="Tahoma"/>
            <family val="2"/>
          </rPr>
          <t xml:space="preserve">
Post indepdent auditor review adjustments 2024.3</t>
        </r>
      </text>
    </comment>
    <comment ref="AC96" authorId="0" shapeId="0" xr:uid="{735808DC-E71A-48E1-B9F1-6029F66A4B2F}">
      <text>
        <r>
          <rPr>
            <b/>
            <sz val="9"/>
            <color indexed="81"/>
            <rFont val="Tahoma"/>
            <family val="2"/>
          </rPr>
          <t>JQ:</t>
        </r>
        <r>
          <rPr>
            <sz val="9"/>
            <color indexed="81"/>
            <rFont val="Tahoma"/>
            <family val="2"/>
          </rPr>
          <t xml:space="preserve">
Post indepdent auditor review adjustments 2024.3</t>
        </r>
      </text>
    </comment>
    <comment ref="AD96" authorId="0" shapeId="0" xr:uid="{8414484A-75D1-4939-BFFE-36256F09EE21}">
      <text>
        <r>
          <rPr>
            <b/>
            <sz val="9"/>
            <color indexed="81"/>
            <rFont val="Tahoma"/>
            <family val="2"/>
          </rPr>
          <t>JQ:</t>
        </r>
        <r>
          <rPr>
            <sz val="9"/>
            <color indexed="81"/>
            <rFont val="Tahoma"/>
            <family val="2"/>
          </rPr>
          <t xml:space="preserve">
Post indepdent auditor review adjustments 2024.3</t>
        </r>
      </text>
    </comment>
    <comment ref="AE96" authorId="0" shapeId="0" xr:uid="{1DF1DC34-6703-4983-B52F-D737353F2D8F}">
      <text>
        <r>
          <rPr>
            <b/>
            <sz val="9"/>
            <color indexed="81"/>
            <rFont val="Tahoma"/>
            <family val="2"/>
          </rPr>
          <t>JQ:</t>
        </r>
        <r>
          <rPr>
            <sz val="9"/>
            <color indexed="81"/>
            <rFont val="Tahoma"/>
            <family val="2"/>
          </rPr>
          <t xml:space="preserve">
Post indepdent auditor review adjustments 2024.3</t>
        </r>
      </text>
    </comment>
    <comment ref="AF96" authorId="0" shapeId="0" xr:uid="{623A942B-8437-40E0-9F55-F7AEF03A97EC}">
      <text>
        <r>
          <rPr>
            <b/>
            <sz val="9"/>
            <color indexed="81"/>
            <rFont val="Tahoma"/>
            <family val="2"/>
          </rPr>
          <t>JQ:</t>
        </r>
        <r>
          <rPr>
            <sz val="9"/>
            <color indexed="81"/>
            <rFont val="Tahoma"/>
            <family val="2"/>
          </rPr>
          <t xml:space="preserve">
Post indepdent auditor review adjustments 2024.3</t>
        </r>
      </text>
    </comment>
    <comment ref="W97" authorId="0" shapeId="0" xr:uid="{2A0DCD1E-AA69-4DBE-B870-9CB60DAD44DC}">
      <text>
        <r>
          <rPr>
            <b/>
            <sz val="9"/>
            <color indexed="81"/>
            <rFont val="Tahoma"/>
            <family val="2"/>
          </rPr>
          <t>JQ:</t>
        </r>
        <r>
          <rPr>
            <sz val="9"/>
            <color indexed="81"/>
            <rFont val="Tahoma"/>
            <family val="2"/>
          </rPr>
          <t xml:space="preserve">
Net of Rider Rev.  If on comparable basis Rev is RMB1.5bn (81.2% yoy growth)</t>
        </r>
      </text>
    </comment>
    <comment ref="X97" authorId="0" shapeId="0" xr:uid="{0038ACA7-C0BD-4135-A1D2-F4B16C2C9A84}">
      <text>
        <r>
          <rPr>
            <b/>
            <sz val="9"/>
            <color indexed="81"/>
            <rFont val="Tahoma"/>
            <family val="2"/>
          </rPr>
          <t>JQ:</t>
        </r>
        <r>
          <rPr>
            <sz val="9"/>
            <color indexed="81"/>
            <rFont val="Tahoma"/>
            <family val="2"/>
          </rPr>
          <t xml:space="preserve">
RMB1,370m (90.5% yoy growth) on comparable basis</t>
        </r>
      </text>
    </comment>
    <comment ref="Y97" authorId="1" shapeId="0" xr:uid="{BFAE5F6B-C8FD-4E5D-9A56-EC0AE1CF1DD3}">
      <text>
        <r>
          <rPr>
            <b/>
            <sz val="10"/>
            <color indexed="81"/>
            <rFont val="Arial"/>
            <family val="2"/>
          </rPr>
          <t>JQ</t>
        </r>
        <r>
          <rPr>
            <sz val="10"/>
            <rFont val="Arial"/>
            <family val="2"/>
          </rPr>
          <t>:
Revenue would have been RMB2,321m on a comparable basis (80.5% growth)</t>
        </r>
      </text>
    </comment>
    <comment ref="F100" authorId="1" shapeId="0" xr:uid="{33AFFA2D-A9B5-4E86-A5C3-12F77F504B81}">
      <text>
        <r>
          <rPr>
            <b/>
            <sz val="10"/>
            <color indexed="81"/>
            <rFont val="Arial"/>
            <family val="2"/>
          </rPr>
          <t>JQ</t>
        </r>
        <r>
          <rPr>
            <sz val="10"/>
            <rFont val="Arial"/>
            <family val="2"/>
          </rPr>
          <t>:
82.7% growth on a comparable basis</t>
        </r>
      </text>
    </comment>
    <comment ref="G100" authorId="1" shapeId="0" xr:uid="{71207805-A426-4231-857B-729F47B6DA14}">
      <text>
        <r>
          <rPr>
            <b/>
            <sz val="9"/>
            <color indexed="81"/>
            <rFont val="Tahoma"/>
            <family val="2"/>
          </rPr>
          <t>JQ:</t>
        </r>
        <r>
          <rPr>
            <sz val="9"/>
            <color indexed="81"/>
            <rFont val="Tahoma"/>
            <family val="2"/>
          </rPr>
          <t xml:space="preserve">
42.7% growth on a comparable basis</t>
        </r>
      </text>
    </comment>
    <comment ref="W100" authorId="0" shapeId="0" xr:uid="{998D5EF0-89B5-4F45-A60A-BF4C99159ABF}">
      <text>
        <r>
          <rPr>
            <b/>
            <sz val="9"/>
            <color indexed="81"/>
            <rFont val="Tahoma"/>
            <family val="2"/>
          </rPr>
          <t>JQ:</t>
        </r>
        <r>
          <rPr>
            <sz val="9"/>
            <color indexed="81"/>
            <rFont val="Tahoma"/>
            <family val="2"/>
          </rPr>
          <t xml:space="preserve">
Growth rate 81.2% yoy on comparable basis</t>
        </r>
      </text>
    </comment>
    <comment ref="X100" authorId="0" shapeId="0" xr:uid="{7C30894D-AD62-49E9-8C5C-713193D3EE11}">
      <text>
        <r>
          <rPr>
            <b/>
            <sz val="9"/>
            <color indexed="81"/>
            <rFont val="Tahoma"/>
            <family val="2"/>
          </rPr>
          <t>JQ:</t>
        </r>
        <r>
          <rPr>
            <sz val="9"/>
            <color indexed="81"/>
            <rFont val="Tahoma"/>
            <family val="2"/>
          </rPr>
          <t xml:space="preserve">
90.5% yoy growth on comparable basis</t>
        </r>
      </text>
    </comment>
    <comment ref="Y100" authorId="1" shapeId="0" xr:uid="{8CE9FFF0-0D66-441F-A41B-85F770DB97E6}">
      <text>
        <r>
          <rPr>
            <b/>
            <sz val="10"/>
            <color indexed="81"/>
            <rFont val="Arial"/>
            <family val="2"/>
          </rPr>
          <t>JQ</t>
        </r>
        <r>
          <rPr>
            <sz val="10"/>
            <rFont val="Arial"/>
            <family val="2"/>
          </rPr>
          <t>:
Revenue growth of 80.5% YoY on a comparable basis</t>
        </r>
      </text>
    </comment>
    <comment ref="Z100" authorId="1" shapeId="0" xr:uid="{06F518F9-6623-464C-9420-FCC1726F18F8}">
      <text>
        <r>
          <rPr>
            <b/>
            <sz val="10"/>
            <color indexed="81"/>
            <rFont val="Arial"/>
            <family val="2"/>
          </rPr>
          <t>JQ</t>
        </r>
        <r>
          <rPr>
            <sz val="10"/>
            <rFont val="Arial"/>
            <family val="2"/>
          </rPr>
          <t>:
61.5% growth on a comparable basis</t>
        </r>
      </text>
    </comment>
    <comment ref="F101" authorId="1" shapeId="0" xr:uid="{4B66DAFA-023D-46EB-AE22-B68B3AF49DF9}">
      <text>
        <r>
          <rPr>
            <b/>
            <sz val="10"/>
            <color indexed="81"/>
            <rFont val="Arial"/>
            <family val="2"/>
          </rPr>
          <t>JQ</t>
        </r>
        <r>
          <rPr>
            <sz val="10"/>
            <rFont val="Arial"/>
            <family val="2"/>
          </rPr>
          <t>:
78% growth on comparable basis</t>
        </r>
      </text>
    </comment>
    <comment ref="G101" authorId="1" shapeId="0" xr:uid="{A20060E0-C8E9-4A88-A857-954989AB8793}">
      <text>
        <r>
          <rPr>
            <b/>
            <sz val="9"/>
            <color indexed="81"/>
            <rFont val="Tahoma"/>
            <family val="2"/>
          </rPr>
          <t>JQ:</t>
        </r>
        <r>
          <rPr>
            <sz val="9"/>
            <color indexed="81"/>
            <rFont val="Tahoma"/>
            <family val="2"/>
          </rPr>
          <t xml:space="preserve">
49% growth on a comparable basis</t>
        </r>
      </text>
    </comment>
    <comment ref="W101" authorId="0" shapeId="0" xr:uid="{4E8D412D-79E6-44BB-9536-88ADE43799AB}">
      <text>
        <r>
          <rPr>
            <b/>
            <sz val="9"/>
            <color indexed="81"/>
            <rFont val="Tahoma"/>
            <family val="2"/>
          </rPr>
          <t>JQ:</t>
        </r>
        <r>
          <rPr>
            <sz val="9"/>
            <color indexed="81"/>
            <rFont val="Tahoma"/>
            <family val="2"/>
          </rPr>
          <t xml:space="preserve">
81% yoy growth on comparable basis (reverse DADA Now's accounting)</t>
        </r>
      </text>
    </comment>
    <comment ref="X101" authorId="0" shapeId="0" xr:uid="{556276A9-5DBA-4DC3-9C13-5993648EE9C6}">
      <text>
        <r>
          <rPr>
            <b/>
            <sz val="9"/>
            <color indexed="81"/>
            <rFont val="Tahoma"/>
            <family val="2"/>
          </rPr>
          <t>JQ:</t>
        </r>
        <r>
          <rPr>
            <sz val="9"/>
            <color indexed="81"/>
            <rFont val="Tahoma"/>
            <family val="2"/>
          </rPr>
          <t xml:space="preserve">
88% growth yoy comparable basis</t>
        </r>
      </text>
    </comment>
    <comment ref="Y101" authorId="1" shapeId="0" xr:uid="{6E889DBF-EDF7-435A-8961-2DC8AA6CAC1E}">
      <text>
        <r>
          <rPr>
            <b/>
            <sz val="10"/>
            <color indexed="81"/>
            <rFont val="Arial"/>
            <family val="2"/>
          </rPr>
          <t>JQ</t>
        </r>
        <r>
          <rPr>
            <sz val="10"/>
            <rFont val="Arial"/>
            <family val="2"/>
          </rPr>
          <t>:
80.5% growth on a comparable basis</t>
        </r>
      </text>
    </comment>
    <comment ref="Z101" authorId="1" shapeId="0" xr:uid="{FC4BE7CC-ACD3-4487-B31B-A29CF3C4A8B2}">
      <text>
        <r>
          <rPr>
            <b/>
            <sz val="10"/>
            <color indexed="81"/>
            <rFont val="Arial"/>
            <family val="2"/>
          </rPr>
          <t>JQ:</t>
        </r>
        <r>
          <rPr>
            <sz val="10"/>
            <rFont val="Arial"/>
            <family val="2"/>
          </rPr>
          <t xml:space="preserve">
70.1% growth on a comparable basis</t>
        </r>
      </text>
    </comment>
    <comment ref="AH131" authorId="2" shapeId="0" xr:uid="{C1E85B46-FECF-40E1-B08F-7E3FBEABEC80}">
      <text>
        <r>
          <rPr>
            <b/>
            <sz val="9"/>
            <color indexed="81"/>
            <rFont val="Tahoma"/>
            <family val="2"/>
          </rPr>
          <t>JQ:</t>
        </r>
        <r>
          <rPr>
            <sz val="9"/>
            <color indexed="81"/>
            <rFont val="Tahoma"/>
            <family val="2"/>
          </rPr>
          <t xml:space="preserve">
IR comment</t>
        </r>
      </text>
    </comment>
    <comment ref="I133" authorId="4" shapeId="0" xr:uid="{DD9F6864-E2C0-4BEE-A73A-97B13D903278}">
      <text>
        <r>
          <rPr>
            <b/>
            <sz val="9"/>
            <color indexed="81"/>
            <rFont val="Tahoma"/>
            <family val="2"/>
          </rPr>
          <t>JQ:</t>
        </r>
        <r>
          <rPr>
            <sz val="9"/>
            <color indexed="81"/>
            <rFont val="Tahoma"/>
            <family val="2"/>
          </rPr>
          <t xml:space="preserve">
Includes JD's channel access fee</t>
        </r>
      </text>
    </comment>
    <comment ref="A140" authorId="0" shapeId="0" xr:uid="{F07B5C2A-F0D3-42F5-83F0-C98F4D98A5B0}">
      <text>
        <r>
          <rPr>
            <b/>
            <sz val="9"/>
            <color indexed="81"/>
            <rFont val="Tahoma"/>
            <family val="2"/>
          </rPr>
          <t>JQ:</t>
        </r>
        <r>
          <rPr>
            <sz val="9"/>
            <color indexed="81"/>
            <rFont val="Tahoma"/>
            <family val="2"/>
          </rPr>
          <t xml:space="preserve">
2016 JDDJ acquisition (in G&amp;A) and 2022 JD acquisition of DADA shares (in S&amp;M)</t>
        </r>
      </text>
    </comment>
    <comment ref="A156" authorId="0" shapeId="0" xr:uid="{FA55FC1E-DDF3-4533-8DAD-9ABDDDC568D5}">
      <text>
        <r>
          <rPr>
            <b/>
            <sz val="9"/>
            <color indexed="81"/>
            <rFont val="Tahoma"/>
            <family val="2"/>
          </rPr>
          <t>JQ:</t>
        </r>
        <r>
          <rPr>
            <sz val="9"/>
            <color indexed="81"/>
            <rFont val="Tahoma"/>
            <family val="2"/>
          </rPr>
          <t xml:space="preserve">
2016 JDDJ acquisition (in G&amp;A) and 2022 JD acquisition of DADA shares (in S&amp;M)</t>
        </r>
      </text>
    </comment>
    <comment ref="G171" authorId="0" shapeId="0" xr:uid="{0DB0B56E-1E82-44B6-B83A-63A8EC2A769C}">
      <text>
        <r>
          <rPr>
            <b/>
            <sz val="9"/>
            <color indexed="81"/>
            <rFont val="Tahoma"/>
            <family val="2"/>
          </rPr>
          <t>JQ:</t>
        </r>
        <r>
          <rPr>
            <sz val="9"/>
            <color indexed="81"/>
            <rFont val="Tahoma"/>
            <family val="2"/>
          </rPr>
          <t xml:space="preserve">
No disclosure but earnings said 'stable'</t>
        </r>
      </text>
    </comment>
    <comment ref="H171" authorId="0" shapeId="0" xr:uid="{8C91BFBE-E72C-48C6-8F2F-D972A1E1DA2D}">
      <text>
        <r>
          <rPr>
            <b/>
            <sz val="9"/>
            <color indexed="81"/>
            <rFont val="Tahoma"/>
            <family val="2"/>
          </rPr>
          <t>JQ:</t>
        </r>
        <r>
          <rPr>
            <sz val="9"/>
            <color indexed="81"/>
            <rFont val="Tahoma"/>
            <family val="2"/>
          </rPr>
          <t xml:space="preserve">
Jefferies figures 2024.3</t>
        </r>
      </text>
    </comment>
    <comment ref="AC171" authorId="0" shapeId="0" xr:uid="{DFB534CD-CA87-4D74-ABA0-50F2CB078D0A}">
      <text>
        <r>
          <rPr>
            <b/>
            <sz val="9"/>
            <color indexed="81"/>
            <rFont val="Tahoma"/>
            <family val="2"/>
          </rPr>
          <t>JQ:</t>
        </r>
        <r>
          <rPr>
            <sz val="9"/>
            <color indexed="81"/>
            <rFont val="Tahoma"/>
            <family val="2"/>
          </rPr>
          <t xml:space="preserve">
No disclosure but earnings said 'stable'</t>
        </r>
      </text>
    </comment>
    <comment ref="AD171" authorId="0" shapeId="0" xr:uid="{C57B276E-D399-4B61-A622-00796E84847E}">
      <text>
        <r>
          <rPr>
            <b/>
            <sz val="9"/>
            <color indexed="81"/>
            <rFont val="Tahoma"/>
            <family val="2"/>
          </rPr>
          <t>JQ:</t>
        </r>
        <r>
          <rPr>
            <sz val="9"/>
            <color indexed="81"/>
            <rFont val="Tahoma"/>
            <family val="2"/>
          </rPr>
          <t xml:space="preserve">
Jefferies estimate (2024.3)</t>
        </r>
      </text>
    </comment>
    <comment ref="AE171" authorId="0" shapeId="0" xr:uid="{03B98BF7-0CE0-4A4C-9523-491CB8B9396F}">
      <text>
        <r>
          <rPr>
            <b/>
            <sz val="9"/>
            <color indexed="81"/>
            <rFont val="Tahoma"/>
            <family val="2"/>
          </rPr>
          <t>JQ:</t>
        </r>
        <r>
          <rPr>
            <sz val="9"/>
            <color indexed="81"/>
            <rFont val="Tahoma"/>
            <family val="2"/>
          </rPr>
          <t xml:space="preserve">
Jefferies estimate (2024.3)</t>
        </r>
      </text>
    </comment>
    <comment ref="AF171" authorId="0" shapeId="0" xr:uid="{7A24196C-3C5B-4F9A-95EA-021E1C5B9DD5}">
      <text>
        <r>
          <rPr>
            <b/>
            <sz val="9"/>
            <color indexed="81"/>
            <rFont val="Tahoma"/>
            <family val="2"/>
          </rPr>
          <t>JQ:</t>
        </r>
        <r>
          <rPr>
            <sz val="9"/>
            <color indexed="81"/>
            <rFont val="Tahoma"/>
            <family val="2"/>
          </rPr>
          <t xml:space="preserve">
Jefferies estimate (2024.3)</t>
        </r>
      </text>
    </comment>
    <comment ref="AG171" authorId="0" shapeId="0" xr:uid="{3196E9ED-C6D0-4E33-8F77-B15BBE63C559}">
      <text>
        <r>
          <rPr>
            <b/>
            <sz val="9"/>
            <color indexed="81"/>
            <rFont val="Tahoma"/>
            <family val="2"/>
          </rPr>
          <t>JQ:</t>
        </r>
        <r>
          <rPr>
            <sz val="9"/>
            <color indexed="81"/>
            <rFont val="Tahoma"/>
            <family val="2"/>
          </rPr>
          <t xml:space="preserve">
Jefferies estimate (2024.3)</t>
        </r>
      </text>
    </comment>
    <comment ref="AG175" authorId="0" shapeId="0" xr:uid="{EAD18F69-4687-46D2-8FE3-0E8E81EC999C}">
      <text>
        <r>
          <rPr>
            <b/>
            <sz val="9"/>
            <color indexed="81"/>
            <rFont val="Tahoma"/>
            <family val="2"/>
          </rPr>
          <t>JQ:</t>
        </r>
        <r>
          <rPr>
            <sz val="9"/>
            <color indexed="81"/>
            <rFont val="Tahoma"/>
            <family val="2"/>
          </rPr>
          <t xml:space="preserve">
IR comment: GMV for quarter 'slightly higher sequentially'</t>
        </r>
      </text>
    </comment>
    <comment ref="AI178" authorId="2" shapeId="0" xr:uid="{826DE60E-B4E2-4494-929A-F34E1703AC98}">
      <text>
        <r>
          <rPr>
            <b/>
            <sz val="9"/>
            <color indexed="81"/>
            <rFont val="Tahoma"/>
            <family val="2"/>
          </rPr>
          <t>JQ:</t>
        </r>
        <r>
          <rPr>
            <sz val="9"/>
            <color indexed="81"/>
            <rFont val="Tahoma"/>
            <family val="2"/>
          </rPr>
          <t xml:space="preserve">
CFO said GMV was flattish to slightly lower vs 2023Q2</t>
        </r>
      </text>
    </comment>
    <comment ref="AH179" authorId="2" shapeId="0" xr:uid="{7F7F9D73-A380-4BE2-82BF-3A63EC37C55D}">
      <text>
        <r>
          <rPr>
            <b/>
            <sz val="9"/>
            <color indexed="81"/>
            <rFont val="Tahoma"/>
            <family val="2"/>
          </rPr>
          <t>JQ:</t>
        </r>
        <r>
          <rPr>
            <sz val="9"/>
            <color indexed="81"/>
            <rFont val="Tahoma"/>
            <family val="2"/>
          </rPr>
          <t xml:space="preserve">
IR says GMV change similar to Commission rev change</t>
        </r>
      </text>
    </comment>
    <comment ref="AJ179" authorId="2" shapeId="0" xr:uid="{B1BF4299-863B-45A4-81F9-E4E016C7631C}">
      <text>
        <r>
          <rPr>
            <b/>
            <sz val="9"/>
            <color indexed="81"/>
            <rFont val="Tahoma"/>
            <family val="2"/>
          </rPr>
          <t>JQ:</t>
        </r>
        <r>
          <rPr>
            <sz val="9"/>
            <color indexed="81"/>
            <rFont val="Tahoma"/>
            <family val="2"/>
          </rPr>
          <t xml:space="preserve">
IR says GMV change similar to Commission rev change</t>
        </r>
      </text>
    </comment>
    <comment ref="AG181" authorId="2" shapeId="0" xr:uid="{FE8C94CA-3BE5-4DFA-AD1A-07EB41F8A1CA}">
      <text>
        <r>
          <rPr>
            <b/>
            <sz val="9"/>
            <color indexed="81"/>
            <rFont val="Tahoma"/>
            <family val="2"/>
          </rPr>
          <t xml:space="preserve">JQ:
</t>
        </r>
        <r>
          <rPr>
            <sz val="9"/>
            <color indexed="81"/>
            <rFont val="Tahoma"/>
            <family val="2"/>
          </rPr>
          <t xml:space="preserve">Update once FY2024 results out
</t>
        </r>
      </text>
    </comment>
    <comment ref="AH184" authorId="2" shapeId="0" xr:uid="{8EE80BC3-473C-4985-9027-5F9F93A33C9B}">
      <text>
        <r>
          <rPr>
            <b/>
            <sz val="9"/>
            <color indexed="81"/>
            <rFont val="Tahoma"/>
            <family val="2"/>
          </rPr>
          <t>JQ:</t>
        </r>
        <r>
          <rPr>
            <sz val="9"/>
            <color indexed="81"/>
            <rFont val="Tahoma"/>
            <family val="2"/>
          </rPr>
          <t xml:space="preserve">
Delivery waiver impact</t>
        </r>
      </text>
    </comment>
    <comment ref="AG189" authorId="0" shapeId="0" xr:uid="{1B3BCD0E-3946-41F8-8542-B3FEE03D03B9}">
      <text>
        <r>
          <rPr>
            <b/>
            <sz val="9"/>
            <color indexed="81"/>
            <rFont val="Tahoma"/>
            <family val="2"/>
          </rPr>
          <t>JQ:</t>
        </r>
        <r>
          <rPr>
            <sz val="9"/>
            <color indexed="81"/>
            <rFont val="Tahoma"/>
            <family val="2"/>
          </rPr>
          <t xml:space="preserve">
First full quarter of delivery waivers</t>
        </r>
      </text>
    </comment>
    <comment ref="AG194" authorId="2" shapeId="0" xr:uid="{9F714EA1-8446-4709-9E8F-66EFB3941E4E}">
      <text>
        <r>
          <rPr>
            <b/>
            <sz val="9"/>
            <color indexed="81"/>
            <rFont val="Tahoma"/>
            <family val="2"/>
          </rPr>
          <t>JQ:</t>
        </r>
        <r>
          <rPr>
            <sz val="9"/>
            <color indexed="81"/>
            <rFont val="Tahoma"/>
            <family val="2"/>
          </rPr>
          <t xml:space="preserve">
Estimate until FY2024 results released</t>
        </r>
      </text>
    </comment>
    <comment ref="Z195" authorId="0" shapeId="0" xr:uid="{FABE4131-4CF8-4B2B-9A05-F2B8A10DBA54}">
      <text>
        <r>
          <rPr>
            <b/>
            <sz val="9"/>
            <color indexed="81"/>
            <rFont val="Tahoma"/>
            <family val="2"/>
          </rPr>
          <t>JQ:</t>
        </r>
        <r>
          <rPr>
            <sz val="9"/>
            <color indexed="81"/>
            <rFont val="Tahoma"/>
            <family val="2"/>
          </rPr>
          <t xml:space="preserve">
IR comments</t>
        </r>
      </text>
    </comment>
    <comment ref="AA195" authorId="0" shapeId="0" xr:uid="{21C125EC-0B86-4080-A829-E01DD850AC73}">
      <text>
        <r>
          <rPr>
            <b/>
            <sz val="9"/>
            <color indexed="81"/>
            <rFont val="Tahoma"/>
            <family val="2"/>
          </rPr>
          <t>JQ:</t>
        </r>
        <r>
          <rPr>
            <sz val="9"/>
            <color indexed="81"/>
            <rFont val="Tahoma"/>
            <family val="2"/>
          </rPr>
          <t xml:space="preserve">
IR comments</t>
        </r>
      </text>
    </comment>
    <comment ref="AB195" authorId="0" shapeId="0" xr:uid="{D8F47825-C416-4EBA-AD49-DDB7828F0F00}">
      <text>
        <r>
          <rPr>
            <b/>
            <sz val="9"/>
            <color indexed="81"/>
            <rFont val="Tahoma"/>
            <family val="2"/>
          </rPr>
          <t xml:space="preserve">JQ:
</t>
        </r>
        <r>
          <rPr>
            <sz val="9"/>
            <color indexed="81"/>
            <rFont val="Tahoma"/>
            <family val="2"/>
          </rPr>
          <t>IR comments</t>
        </r>
      </text>
    </comment>
    <comment ref="AC195" authorId="0" shapeId="0" xr:uid="{CD4D80A6-5302-440C-AFE6-1E53B5035B01}">
      <text>
        <r>
          <rPr>
            <b/>
            <sz val="9"/>
            <color indexed="81"/>
            <rFont val="Tahoma"/>
            <family val="2"/>
          </rPr>
          <t>JQ:</t>
        </r>
        <r>
          <rPr>
            <sz val="9"/>
            <color indexed="81"/>
            <rFont val="Tahoma"/>
            <family val="2"/>
          </rPr>
          <t xml:space="preserve">
IR comments</t>
        </r>
      </text>
    </comment>
    <comment ref="AH197" authorId="2" shapeId="0" xr:uid="{2C625665-24A4-48AB-BB7E-E033458573D7}">
      <text>
        <r>
          <rPr>
            <b/>
            <sz val="9"/>
            <color indexed="81"/>
            <rFont val="Tahoma"/>
            <family val="2"/>
          </rPr>
          <t>JQ:</t>
        </r>
        <r>
          <rPr>
            <sz val="9"/>
            <color indexed="81"/>
            <rFont val="Tahoma"/>
            <family val="2"/>
          </rPr>
          <t xml:space="preserve">
Delivery waiver impact</t>
        </r>
      </text>
    </comment>
    <comment ref="AJ222" authorId="2" shapeId="0" xr:uid="{D213E386-C08D-41B3-A8EB-EB9E608A9000}">
      <text>
        <r>
          <rPr>
            <b/>
            <sz val="9"/>
            <color indexed="81"/>
            <rFont val="Tahoma"/>
            <family val="2"/>
          </rPr>
          <t>JQ:</t>
        </r>
        <r>
          <rPr>
            <sz val="9"/>
            <color indexed="81"/>
            <rFont val="Tahoma"/>
            <family val="2"/>
          </rPr>
          <t xml:space="preserve">
Walmart reclassified here from 'related parties'</t>
        </r>
      </text>
    </comment>
    <comment ref="AJ224" authorId="2" shapeId="0" xr:uid="{115DF0D0-EC3B-479B-A601-D2B90980A293}">
      <text>
        <r>
          <rPr>
            <b/>
            <sz val="9"/>
            <color indexed="81"/>
            <rFont val="Tahoma"/>
            <family val="2"/>
          </rPr>
          <t>JQ:</t>
        </r>
        <r>
          <rPr>
            <sz val="9"/>
            <color indexed="81"/>
            <rFont val="Tahoma"/>
            <family val="2"/>
          </rPr>
          <t xml:space="preserve">
Walmart moved to Accounts Receivables</t>
        </r>
      </text>
    </comment>
    <comment ref="H228" authorId="3" shapeId="0" xr:uid="{D1D8479C-A62F-47D9-AA2F-BBD56D151142}">
      <text>
        <r>
          <rPr>
            <b/>
            <sz val="9"/>
            <color indexed="81"/>
            <rFont val="Tahoma"/>
            <family val="2"/>
          </rPr>
          <t>JQ:</t>
        </r>
        <r>
          <rPr>
            <sz val="9"/>
            <color indexed="81"/>
            <rFont val="Tahoma"/>
            <family val="2"/>
          </rPr>
          <t xml:space="preserve">
JDDJ goodwill (original 2016 acqusiition) fully written off</t>
        </r>
      </text>
    </comment>
    <comment ref="AG228" authorId="3" shapeId="0" xr:uid="{70ECDBA8-3F3D-49C6-9683-B5FD0865300A}">
      <text>
        <r>
          <rPr>
            <b/>
            <sz val="9"/>
            <color indexed="81"/>
            <rFont val="Tahoma"/>
            <family val="2"/>
          </rPr>
          <t>JQ:</t>
        </r>
        <r>
          <rPr>
            <sz val="9"/>
            <color indexed="81"/>
            <rFont val="Tahoma"/>
            <family val="2"/>
          </rPr>
          <t xml:space="preserve">
JDDJ goodwill (original 2016 acqusiition) fully written off</t>
        </r>
      </text>
    </comment>
    <comment ref="G247" authorId="0" shapeId="0" xr:uid="{6CE8513B-5223-4D9F-849F-2540D7FA6906}">
      <text>
        <r>
          <rPr>
            <b/>
            <sz val="9"/>
            <color indexed="81"/>
            <rFont val="Tahoma"/>
            <family val="2"/>
          </rPr>
          <t>JQ:</t>
        </r>
        <r>
          <rPr>
            <sz val="9"/>
            <color indexed="81"/>
            <rFont val="Tahoma"/>
            <family val="2"/>
          </rPr>
          <t xml:space="preserve">
Issuance of primary shares to JD in 2/2022 acquisition</t>
        </r>
      </text>
    </comment>
    <comment ref="X252" authorId="0" shapeId="0" xr:uid="{AAC68660-8ACE-4B7A-90F0-1298C947CD7F}">
      <text>
        <r>
          <rPr>
            <b/>
            <sz val="9"/>
            <color indexed="81"/>
            <rFont val="Tahoma"/>
            <family val="2"/>
          </rPr>
          <t>JQ:</t>
        </r>
        <r>
          <rPr>
            <sz val="9"/>
            <color indexed="81"/>
            <rFont val="Tahoma"/>
            <family val="2"/>
          </rPr>
          <t xml:space="preserve">
Inc share repurchases of USD130.6m (RMB830m) </t>
        </r>
      </text>
    </comment>
    <comment ref="AJ252" authorId="2" shapeId="0" xr:uid="{4738E7A8-A4A7-43FD-8177-F43473E166C1}">
      <text>
        <r>
          <rPr>
            <b/>
            <sz val="9"/>
            <color indexed="81"/>
            <rFont val="Tahoma"/>
            <family val="2"/>
          </rPr>
          <t>JQ:</t>
        </r>
        <r>
          <rPr>
            <sz val="9"/>
            <color indexed="81"/>
            <rFont val="Tahoma"/>
            <family val="2"/>
          </rPr>
          <t xml:space="preserve">
Impacted by abnormally high working capital</t>
        </r>
      </text>
    </comment>
    <comment ref="AJ254" authorId="2" shapeId="0" xr:uid="{01EFFA3B-6752-4387-B368-C5A12581682E}">
      <text>
        <r>
          <rPr>
            <b/>
            <sz val="9"/>
            <color indexed="81"/>
            <rFont val="Tahoma"/>
            <family val="2"/>
          </rPr>
          <t>JQ:</t>
        </r>
        <r>
          <rPr>
            <sz val="9"/>
            <color indexed="81"/>
            <rFont val="Tahoma"/>
            <family val="2"/>
          </rPr>
          <t xml:space="preserve">
Higher than normal by ~RMB400m</t>
        </r>
      </text>
    </comment>
    <comment ref="I255" authorId="0" shapeId="0" xr:uid="{9857AF9C-DCC5-4314-BAC6-5EB7F5FCC31D}">
      <text>
        <r>
          <rPr>
            <b/>
            <sz val="9"/>
            <color indexed="81"/>
            <rFont val="Tahoma"/>
            <family val="2"/>
          </rPr>
          <t>JQ:</t>
        </r>
        <r>
          <rPr>
            <sz val="9"/>
            <color indexed="81"/>
            <rFont val="Tahoma"/>
            <family val="2"/>
          </rPr>
          <t xml:space="preserve">
Balance sheet WC is period end but Rev used is past 12months (hence annualised quarterly Rev shows a more stable 10-13% of Rev)</t>
        </r>
      </text>
    </comment>
  </commentList>
</comments>
</file>

<file path=xl/sharedStrings.xml><?xml version="1.0" encoding="utf-8"?>
<sst xmlns="http://schemas.openxmlformats.org/spreadsheetml/2006/main" count="504" uniqueCount="326">
  <si>
    <t>DADA</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</si>
  <si>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</si>
  <si>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</si>
  <si>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</si>
  <si>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</si>
  <si>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</si>
  <si>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</si>
  <si>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</si>
  <si>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</si>
  <si>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</si>
  <si>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</si>
  <si>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</si>
  <si>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</si>
  <si>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</si>
  <si>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</si>
  <si>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</si>
  <si>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</si>
  <si>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</si>
  <si>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</si>
  <si>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</si>
  <si>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</si>
  <si>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</si>
  <si>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</si>
  <si>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</si>
  <si>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</si>
  <si>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</si>
  <si>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</si>
  <si>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</si>
  <si>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IPO2: 12/2020 9m ADRs at $50: $450m</t>
  </si>
  <si>
    <t>RMB m</t>
  </si>
  <si>
    <t>DADA Now</t>
  </si>
  <si>
    <t>Total Rev</t>
  </si>
  <si>
    <t>DADA Now growth</t>
  </si>
  <si>
    <t>Total Rev growth</t>
  </si>
  <si>
    <t>Note: DADANow Incentives treated as contra-rev</t>
  </si>
  <si>
    <t>DADA Now Gross Rev</t>
  </si>
  <si>
    <t>Dada Now Customer Incentives</t>
  </si>
  <si>
    <t>DADA Now Net Rev</t>
  </si>
  <si>
    <t>Other</t>
  </si>
  <si>
    <t>Operations &amp; Support</t>
  </si>
  <si>
    <t>Other Operating Expenses</t>
  </si>
  <si>
    <t>Purchase of products sold on DADA Now</t>
  </si>
  <si>
    <t>Amortisation of Trademarks/Domains</t>
  </si>
  <si>
    <t>Annual figure evenly divided</t>
  </si>
  <si>
    <t>JD.com business co-op amortisation</t>
  </si>
  <si>
    <t>Sales &amp; Marketing</t>
  </si>
  <si>
    <t>R&amp;D</t>
  </si>
  <si>
    <t>G&amp;A</t>
  </si>
  <si>
    <t>Started 4.2016. NCA amort 7yrs, BCA amort 7-10yrs</t>
  </si>
  <si>
    <t>Remainder of Amort from Acquitions</t>
  </si>
  <si>
    <t>% Core OPM</t>
  </si>
  <si>
    <t>Others, net (Interest Income+FX)</t>
  </si>
  <si>
    <t>Interest Expense</t>
  </si>
  <si>
    <t>Other Operating Income</t>
  </si>
  <si>
    <t>Mostly Gov subsidies</t>
  </si>
  <si>
    <t>PBT</t>
  </si>
  <si>
    <t>Income Tax</t>
  </si>
  <si>
    <t>Minority Interests (inc pref/convert)</t>
  </si>
  <si>
    <t>NPAT to shareholders</t>
  </si>
  <si>
    <t>NPM %</t>
  </si>
  <si>
    <t>Reported NPAT</t>
  </si>
  <si>
    <t>Interest % yield on Cash &amp; ST Investments</t>
  </si>
  <si>
    <t>Interest expense % on Debt</t>
  </si>
  <si>
    <t>Income Tax Rate</t>
  </si>
  <si>
    <t>Diluted weighted Avg no ADS</t>
  </si>
  <si>
    <t>4shares=1ADR</t>
  </si>
  <si>
    <t>% change</t>
  </si>
  <si>
    <t>SBC</t>
  </si>
  <si>
    <t>SBC % Rev</t>
  </si>
  <si>
    <t>growth</t>
  </si>
  <si>
    <t>Acquisition related amortization</t>
  </si>
  <si>
    <t>Dada Now Total Rev</t>
  </si>
  <si>
    <t>Dada Now Direct Costs</t>
  </si>
  <si>
    <t>Balance Sheet</t>
  </si>
  <si>
    <t>Cash &amp; Equivalents</t>
  </si>
  <si>
    <t>Inc Restricted Cash</t>
  </si>
  <si>
    <t>ST Investments</t>
  </si>
  <si>
    <t xml:space="preserve">Accounts Receivable </t>
  </si>
  <si>
    <t>net of allowance for doubtful accounts, mostly related to DADA Now</t>
  </si>
  <si>
    <t>Inventories</t>
  </si>
  <si>
    <t>Amount due from related parties</t>
  </si>
  <si>
    <t>Services to JD, Walmart</t>
  </si>
  <si>
    <t>Other (Prepayments &amp; Other Cur Assets)</t>
  </si>
  <si>
    <t>Total Current Assets</t>
  </si>
  <si>
    <t>PPE</t>
  </si>
  <si>
    <t>Intangibles+Goodwill</t>
  </si>
  <si>
    <t>LT Deposits</t>
  </si>
  <si>
    <t>Total Non Current Assets</t>
  </si>
  <si>
    <t>Total Assets</t>
  </si>
  <si>
    <t>ST Borrowings</t>
  </si>
  <si>
    <t>Inc Amount due to related parties</t>
  </si>
  <si>
    <t>Payable to riders and drivers</t>
  </si>
  <si>
    <t>Accrued Expenses</t>
  </si>
  <si>
    <t>Current Liabilities</t>
  </si>
  <si>
    <t>LT Borrowings</t>
  </si>
  <si>
    <t>Lease Liabilities</t>
  </si>
  <si>
    <t>Non Current Liabilities</t>
  </si>
  <si>
    <t>Total Liabilities</t>
  </si>
  <si>
    <t>Shareholder's Equity</t>
  </si>
  <si>
    <t>Noncontrolling Interests</t>
  </si>
  <si>
    <t>Total Liability &amp; Equity</t>
  </si>
  <si>
    <t>check</t>
  </si>
  <si>
    <t>Net Debt/(Cash)</t>
  </si>
  <si>
    <t>Includes ST Investments</t>
  </si>
  <si>
    <t xml:space="preserve"> </t>
  </si>
  <si>
    <t>Net Working Capital</t>
  </si>
  <si>
    <t>Ex Payable to Riders/Drivers</t>
  </si>
  <si>
    <t>% Rev</t>
  </si>
  <si>
    <t>Cash Flow</t>
  </si>
  <si>
    <t>Normalised NPAT (pre minorities)</t>
  </si>
  <si>
    <t>Depreciation &amp; Amortisation</t>
  </si>
  <si>
    <t>Share based compensation</t>
  </si>
  <si>
    <t>Changes in Working Capital</t>
  </si>
  <si>
    <t>Impacted most by Rel Parties and Payable to Riders</t>
  </si>
  <si>
    <t>Mostly net Accrued Expenses, Prepayments</t>
  </si>
  <si>
    <t>Operating Cash Flow</t>
  </si>
  <si>
    <t>Capex (inc intangibles)</t>
  </si>
  <si>
    <t>Acquisitions</t>
  </si>
  <si>
    <t>Mostly net movements in ST investments</t>
  </si>
  <si>
    <t>Investing Cash Flow</t>
  </si>
  <si>
    <t>Net Share Issues/(Repurchases)</t>
  </si>
  <si>
    <t>Debt changes</t>
  </si>
  <si>
    <t>Financing Cash Flow</t>
  </si>
  <si>
    <t>FX impact</t>
  </si>
  <si>
    <t>Net change in Cash</t>
  </si>
  <si>
    <t>Operating Metrics</t>
  </si>
  <si>
    <t>Commissions</t>
  </si>
  <si>
    <t>Ad/Marketing</t>
  </si>
  <si>
    <t>Commissions/Ad &amp; Marketing</t>
  </si>
  <si>
    <t>Fulfillment and Other</t>
  </si>
  <si>
    <t>Commission growth</t>
  </si>
  <si>
    <t>Ad/Marketing growth</t>
  </si>
  <si>
    <t>Commission/Ad/Marketing growth</t>
  </si>
  <si>
    <t>Fulfillment and Other growth</t>
  </si>
  <si>
    <t>Commissions % GMV</t>
  </si>
  <si>
    <t>Ad/Marketing % GMV</t>
  </si>
  <si>
    <t>Commissions/Marketing % GMV</t>
  </si>
  <si>
    <t>Fulfillment/Other % GMV</t>
  </si>
  <si>
    <t>DADA Now metrics</t>
  </si>
  <si>
    <t>FY2020 and earlier, based on Gross Rev (accounting change to Net only started 2Q21)</t>
  </si>
  <si>
    <t>Gross Billings (RMBm)</t>
  </si>
  <si>
    <t>Orders Delivered (m)</t>
  </si>
  <si>
    <t>Gross Billings per Order (RMB)</t>
  </si>
  <si>
    <t>LT Target: approx 2%</t>
  </si>
  <si>
    <t>JD Annual Active Accounts</t>
  </si>
  <si>
    <t>JD Now Metrics</t>
  </si>
  <si>
    <t>Add back:</t>
  </si>
  <si>
    <t>Adj Operating Profit</t>
  </si>
  <si>
    <t>Core Operating Profit</t>
  </si>
  <si>
    <t>Other G&amp;A</t>
  </si>
  <si>
    <t>Other Sales &amp; Marketing</t>
  </si>
  <si>
    <t>% Adj OPM</t>
  </si>
  <si>
    <t>Total Direct Profit</t>
  </si>
  <si>
    <t>DADA Now Direct Profit</t>
  </si>
  <si>
    <t>JD Now Direct Profit</t>
  </si>
  <si>
    <t>Total Core Operating Profit</t>
  </si>
  <si>
    <t>JD Now Operating Profit</t>
  </si>
  <si>
    <t>DADA Now Operating Profit</t>
  </si>
  <si>
    <t>Segmental workings</t>
  </si>
  <si>
    <t>Expense details</t>
  </si>
  <si>
    <t>JD Now Consumer Incentives</t>
  </si>
  <si>
    <t>JD Now 2016 acquisition amortisation</t>
  </si>
  <si>
    <t>Fully attributed to JD Now (as per IR)</t>
  </si>
  <si>
    <t>Dada Now Core EBIT</t>
  </si>
  <si>
    <t>JD Now (previously JD Now)</t>
  </si>
  <si>
    <t>JD Now growth</t>
  </si>
  <si>
    <t>JD Now Total Rev</t>
  </si>
  <si>
    <t>JD Now Direct Costs</t>
  </si>
  <si>
    <t>JD Now Direct Margin %</t>
  </si>
  <si>
    <t>GMV-JD Now: Rolling 12months (RMBm)</t>
  </si>
  <si>
    <t>GMV-JD Now: Period specific (RMBm)</t>
  </si>
  <si>
    <t>JD Now Total Rev (NEW)</t>
  </si>
  <si>
    <t>JD Now Take Rate (Total Rev as % GMV)</t>
  </si>
  <si>
    <t>Total Adj Operating Profit</t>
  </si>
  <si>
    <t>JD Now Core EBIT</t>
  </si>
  <si>
    <t>JD Now Adj EBIT</t>
  </si>
  <si>
    <t>Dada Now Adj EBIT</t>
  </si>
  <si>
    <t>Restarted disclosures on Gross billings</t>
  </si>
  <si>
    <t>Dada Now switch to net accounting (only KA is gross)</t>
  </si>
  <si>
    <t>JD Now Consumer Incentives % GMV</t>
  </si>
  <si>
    <t>2/2022: JD increased DADA stake to 52% for $546m (~$20/ADR)</t>
  </si>
  <si>
    <t>2/2022: JD increases DADA stake to 52% for $546m (~$20/share)</t>
  </si>
  <si>
    <t>% JD Now GMV</t>
  </si>
  <si>
    <t>JD Now Core OPM</t>
  </si>
  <si>
    <t>DADA Now Core OPM</t>
  </si>
  <si>
    <t>Segmental Summary</t>
  </si>
  <si>
    <t>Bull</t>
  </si>
  <si>
    <t>Base</t>
  </si>
  <si>
    <t>Bear</t>
  </si>
  <si>
    <t>RMB/USD</t>
  </si>
  <si>
    <t>Dada Now</t>
  </si>
  <si>
    <t>Date</t>
  </si>
  <si>
    <t>Event</t>
  </si>
  <si>
    <t>Notes</t>
  </si>
  <si>
    <t>Revise 2020 Share Incentive Plan (2020-2030)</t>
  </si>
  <si>
    <t>Increase share pool by 51.9m to total 97.7m.  Additional shares funded by share-backs.  Effectively doubles the annual share issuance cap which allows SBC to be maintained at ~RMB150m even at the current low share price</t>
  </si>
  <si>
    <t>Suspicious Ad/Marketing Rev (JD Now)</t>
  </si>
  <si>
    <t>JD takeover offer for Dada</t>
  </si>
  <si>
    <t>President resigns</t>
  </si>
  <si>
    <t>Jeff Huijian He is the last of the old management</t>
  </si>
  <si>
    <t>Audit conclusion</t>
  </si>
  <si>
    <t>~RMB500m rev and ~RMB500m costs associated with Ad/Marketing overstated
No indications of traffic or GMV manipulation</t>
  </si>
  <si>
    <t>Overstated rev and costs from 4Q22 to 4Q23.  Reduces rev and increases margin.  Net impact on profit is actually slightly higher than previously reported
Raises questions on JD Now's growth (FY23 growth reduced to 16% from 23%) and viability of the Ad/Marketing services</t>
  </si>
  <si>
    <t>Chairman and CFO resigns</t>
  </si>
  <si>
    <t>Nasdaq IPO</t>
  </si>
  <si>
    <t>IPO1: 6/2020 22m ADR @ $16: $358m</t>
  </si>
  <si>
    <t>IPO: 6/2020 22m ADR @ $16: $358m</t>
  </si>
  <si>
    <t>Additional offering</t>
  </si>
  <si>
    <t>Sold 9m ADS @ $50/ADS raising $450m</t>
  </si>
  <si>
    <t>Upsized offering of 22.4m ADS @ $16/ADS raising $358m</t>
  </si>
  <si>
    <t>JD share purchase agreement</t>
  </si>
  <si>
    <t>JD agreed to invest US$800m (or ~$29/ADS) for new shares in Dada (equivalent to ~6%) to take its holdings to ~52%</t>
  </si>
  <si>
    <t>JD share purchase completed</t>
  </si>
  <si>
    <t>Official approval for JD's share purchase received
Terms were revised to $546m cash (~$20/ADS) and $254m 'strategic resources'.  The new $20/ADS was ~2.1x closing share price of Dada on 25/2/2022 of $9.6/ADS
JD owns 52% of Dada post transaction, fully consolidating it within their accounts</t>
  </si>
  <si>
    <t>Other Events</t>
  </si>
  <si>
    <t>JD owns 63% post transaction</t>
  </si>
  <si>
    <t>Walmart sells its 10% Dada stake to JD</t>
  </si>
  <si>
    <t>Offer price $2/ADS for remaining 37% not owned by JD</t>
  </si>
  <si>
    <t>Non-GAAP (Cash) Operating Profit</t>
  </si>
  <si>
    <t>Profit &amp; Loss Statement</t>
  </si>
  <si>
    <t>Distorted by fast Rev growth (actual is smaller)</t>
  </si>
  <si>
    <t>50% Group</t>
  </si>
  <si>
    <t>Capital/Corporate Action Events</t>
  </si>
  <si>
    <t>Account Payables</t>
  </si>
  <si>
    <t>Dada Now GP/Order Delivered (RMB)</t>
  </si>
  <si>
    <t>Gross Profit/Order Delivered</t>
  </si>
  <si>
    <t>Adjusted Operating Profit</t>
  </si>
  <si>
    <t>3year CAGR: Orders Delivered</t>
  </si>
  <si>
    <t>Valuation (RMBm)</t>
  </si>
  <si>
    <t>JD Now</t>
  </si>
  <si>
    <t>Last 12months Orders Delivered (m)</t>
  </si>
  <si>
    <t>Valuation Method (forward EV/EBIT multiple)</t>
  </si>
  <si>
    <t>Next 12months Orders Delivered (m)</t>
  </si>
  <si>
    <t>FY25E EV/EBIT</t>
  </si>
  <si>
    <t>JD Logistics</t>
  </si>
  <si>
    <t>Deppon Logistics</t>
  </si>
  <si>
    <t>JD</t>
  </si>
  <si>
    <t>S.F. Holdings (HK listing)</t>
  </si>
  <si>
    <t>Meituan</t>
  </si>
  <si>
    <t>Alibaba</t>
  </si>
  <si>
    <t>ZTO Express (US listing)</t>
  </si>
  <si>
    <t>JD Now direct margin</t>
  </si>
  <si>
    <t>DADA Now direct margin</t>
  </si>
  <si>
    <t>Dada Now direct margin</t>
  </si>
  <si>
    <t>Dada Now Direct Profit</t>
  </si>
  <si>
    <t>Take rate</t>
  </si>
  <si>
    <t>Direct Profit</t>
  </si>
  <si>
    <t>JD Now GMV estimate (RMBm)</t>
  </si>
  <si>
    <t>% direct margin</t>
  </si>
  <si>
    <t>Consumer Incentive expenses</t>
  </si>
  <si>
    <t>Other Direct Costs expenses</t>
  </si>
  <si>
    <t>Consumer Incentive (% GMV)</t>
  </si>
  <si>
    <t>Other Direct Costs (% GMV)</t>
  </si>
  <si>
    <t>Next 12months Gross Profit (RMBm)</t>
  </si>
  <si>
    <t>Sales &amp; Marketing % GMV</t>
  </si>
  <si>
    <t>Opex (S&amp;M, R&amp;D, G&amp;A)</t>
  </si>
  <si>
    <t>Net Cash (RMBm)</t>
  </si>
  <si>
    <t>JD takeover offer price (US$)</t>
  </si>
  <si>
    <t>Average</t>
  </si>
  <si>
    <t>See peers.  Also reasonable relative to growth rate</t>
  </si>
  <si>
    <t>Commission: 2.5-3% + Ad/Marketing: 2-2.5% + Fulfillment: 2.5-3.5%</t>
  </si>
  <si>
    <t>Normalised Revenue Estimate (RMBm)</t>
  </si>
  <si>
    <t>Adjusted OPM %</t>
  </si>
  <si>
    <t>Total Dada ADS on issue</t>
  </si>
  <si>
    <t>Take rate estimate</t>
  </si>
  <si>
    <t>JD Effective GMV Estimate</t>
  </si>
  <si>
    <t>Online Direct Sales Revenue (JD 1P GMV)</t>
  </si>
  <si>
    <t>Marketplace &amp; Ad Revenues (JD 3P sales)</t>
  </si>
  <si>
    <t>JD 3P GMV estimate</t>
  </si>
  <si>
    <t>JD FY25E "Net realised GMV" estimate (RMBm)</t>
  </si>
  <si>
    <t>Non-GAAP (Cash) Normalised NPAT</t>
  </si>
  <si>
    <t>Comparison to FCF</t>
  </si>
  <si>
    <t>Operating CF + Capex</t>
  </si>
  <si>
    <t>Difference</t>
  </si>
  <si>
    <t>Base: 2 year cash burn (RMB500+300m)</t>
  </si>
  <si>
    <t>Bear: 3 year cash burn (RMB500+300+200)</t>
  </si>
  <si>
    <t>Fixed Costs</t>
  </si>
  <si>
    <t>Variable Costs</t>
  </si>
  <si>
    <t>Amortisation</t>
  </si>
  <si>
    <t>Total Costs</t>
  </si>
  <si>
    <t>Variable Costs % Rev</t>
  </si>
  <si>
    <t>Fixed Costs % Rev</t>
  </si>
  <si>
    <t>Value/ADS (USD)</t>
  </si>
  <si>
    <t>% difference to Offer Price</t>
  </si>
  <si>
    <t>Dada Now: Peers</t>
  </si>
  <si>
    <t>JD Now: Peers</t>
  </si>
  <si>
    <t>Cash</t>
  </si>
  <si>
    <t>Total</t>
  </si>
  <si>
    <t>Premium to Offer Price</t>
  </si>
  <si>
    <t>Dada Valuation Summary (US$/ADS)</t>
  </si>
  <si>
    <t>Dada Valuation</t>
  </si>
  <si>
    <t>Total Value/ADS (USD)</t>
  </si>
  <si>
    <t>Total Core OPM</t>
  </si>
  <si>
    <t>Total direct margin</t>
  </si>
  <si>
    <t>Includes 100% amortisation expenses</t>
  </si>
  <si>
    <t>Includes JD channel fee</t>
  </si>
  <si>
    <t>Not all fixed costs (inc JD channel fee)</t>
  </si>
  <si>
    <t>Inc Consumer Incentives (from S&amp;M)</t>
  </si>
  <si>
    <t>50% Group (and 100% amortisation)</t>
  </si>
  <si>
    <t>Additional offering: 12/2020 9m ADRs @ $50: $450m</t>
  </si>
  <si>
    <t>Take-rate less Direct Costs spread</t>
  </si>
  <si>
    <t>Bull: 1 year cash burn (RMB500m)</t>
  </si>
  <si>
    <t>FY25E forecast</t>
  </si>
  <si>
    <t>The net spread is more important than individual line forecasts</t>
  </si>
  <si>
    <t>Take-rate less Variable Costs spread</t>
  </si>
  <si>
    <t>JD Now GMV % JD GMV</t>
  </si>
  <si>
    <t>Other Opex (R&amp;D, Other G&amp;A)</t>
  </si>
  <si>
    <t>Estimate is 210%/120%/45% higher than FY23 JD Now rev</t>
  </si>
  <si>
    <t>3Q24: RMB3.2bn net cash (after adding back RMB400m abnormal working capital).  Assume FY24 ends with ~RMB3bn net cash</t>
  </si>
  <si>
    <t>Currently 3-4% but given traffic growth speed, achievable within 2-3yrs</t>
  </si>
  <si>
    <t>10% Other S&amp;M</t>
  </si>
  <si>
    <t>90% Other S&amp;M + 100% amortisation</t>
  </si>
  <si>
    <t>J&amp;T Global Express</t>
  </si>
  <si>
    <t>*Feb 19, 2025 closing price multiple</t>
  </si>
  <si>
    <t>FY25E Net Realised GMV: 5% growth from 12month rolling to 3Q24 GMV</t>
  </si>
  <si>
    <t>Assume 1% JD channel fee applied to 100% of GMV</t>
  </si>
  <si>
    <t>See peers.  Base is simlar to JD Logistics multiple</t>
  </si>
  <si>
    <t>Penetration: JD Now % JD GMV</t>
  </si>
  <si>
    <t>12 month rolling to 3Q24</t>
  </si>
  <si>
    <t>12months rolling to 3Q24: RMB310m.  LT opex sensitive to performance</t>
  </si>
  <si>
    <t>12month rolling to 3Q24: RMB410m.  ST opex based on cost control</t>
  </si>
  <si>
    <t>JD Now Adj OPM</t>
  </si>
  <si>
    <t>DADA Now Adj OPM</t>
  </si>
  <si>
    <t>Total Adj OPM</t>
  </si>
  <si>
    <t>Dada Now Core OPM</t>
  </si>
  <si>
    <t>Dada Now Adj OPM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</si>
</sst>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48"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name val="Aptos Narrow"/>
      <family val="2"/>
      <scheme val="minor"/>
    </font>
    <font>
      <sz val="11"/>
      <name val="Aptos Narrow"/>
      <family val="2"/>
      <scheme val="minor"/>
    </font>
    <font>
      <sz val="10"/>
      <name val="Arial"/>
      <family val="2"/>
    </font>
    <font>
      <b/>
      <u/>
      <sz val="11"/>
      <name val="Aptos Narrow"/>
      <family val="2"/>
      <scheme val="minor"/>
    </font>
    <font>
      <sz val="11"/>
      <color rgb="FF0000FF"/>
      <name val="Aptos Narrow"/>
      <family val="2"/>
      <scheme val="minor"/>
    </font>
    <font>
      <i/>
      <sz val="11"/>
      <name val="Aptos Narrow"/>
      <family val="2"/>
      <scheme val="minor"/>
    </font>
    <font>
      <b/>
      <i/>
      <sz val="11"/>
      <name val="Aptos Narrow"/>
      <family val="2"/>
      <scheme val="minor"/>
    </font>
    <font>
      <i/>
      <sz val="11"/>
      <color theme="1"/>
      <name val="Aptos Narrow"/>
      <family val="2"/>
      <scheme val="minor"/>
    </font>
    <font>
      <i/>
      <sz val="11"/>
      <color rgb="FF0000FF"/>
      <name val="Aptos Narrow"/>
      <family val="2"/>
      <scheme val="minor"/>
    </font>
    <font>
      <b/>
      <sz val="11"/>
      <color rgb="FF0000FF"/>
      <name val="Aptos Narrow"/>
      <family val="2"/>
      <scheme val="minor"/>
    </font>
    <font>
      <b/>
      <i/>
      <u/>
      <sz val="11"/>
      <name val="Aptos Narrow"/>
      <family val="2"/>
      <scheme val="minor"/>
    </font>
    <font>
      <b/>
      <i/>
      <sz val="11"/>
      <color rgb="FF0000FF"/>
      <name val="Aptos Narrow"/>
      <family val="2"/>
      <scheme val="minor"/>
    </font>
    <font>
      <b/>
      <i/>
      <sz val="11"/>
      <color theme="1"/>
      <name val="Aptos Narrow"/>
      <family val="2"/>
      <scheme val="minor"/>
    </font>
    <font>
      <b/>
      <u/>
      <sz val="11"/>
      <color theme="1"/>
      <name val="Aptos Narrow"/>
      <family val="2"/>
      <scheme val="minor"/>
    </font>
    <font>
      <i/>
      <sz val="11"/>
      <color rgb="FFC00000"/>
      <name val="Aptos Narrow"/>
      <family val="2"/>
      <scheme val="minor"/>
    </font>
    <font>
      <sz val="11"/>
      <color rgb="FFC00000"/>
      <name val="Aptos Narrow"/>
      <family val="2"/>
      <scheme val="minor"/>
    </font>
    <font>
      <sz val="11"/>
      <color indexed="12"/>
      <name val="Aptos Narrow"/>
      <family val="2"/>
      <scheme val="minor"/>
    </font>
    <font>
      <b/>
      <sz val="9"/>
      <color indexed="81"/>
      <name val="Tahoma"/>
      <family val="2"/>
    </font>
    <font>
      <sz val="9"/>
      <color indexed="81"/>
      <name val="Tahoma"/>
      <family val="2"/>
    </font>
    <font>
      <b/>
      <sz val="10"/>
      <color indexed="81"/>
      <name val="Arial"/>
      <family val="2"/>
    </font>
    <font>
      <sz val="10"/>
      <name val="Arial"/>
      <family val="2"/>
    </font>
    <font>
      <sz val="12"/>
      <color theme="1"/>
      <name val="Aptos Narrow"/>
      <family val="2"/>
      <scheme val="minor"/>
    </font>
    <font>
      <sz val="10"/>
      <color indexed="8"/>
      <name val="Arial"/>
      <family val="2"/>
    </font>
    <font>
      <b/>
      <u val="singleAccounting"/>
      <sz val="8"/>
      <color indexed="8"/>
      <name val="Arial"/>
      <family val="2"/>
    </font>
    <font>
      <sz val="1"/>
      <color indexed="9"/>
      <name val="Symbol"/>
      <family val="1"/>
      <charset val="2"/>
    </font>
    <font>
      <b/>
      <u val="singleAccounting"/>
      <sz val="8"/>
      <color indexed="8"/>
      <name val="Verdana"/>
      <family val="2"/>
    </font>
    <font>
      <b/>
      <sz val="10"/>
      <color indexed="9"/>
      <name val="Arial"/>
      <family val="2"/>
    </font>
    <font>
      <b/>
      <sz val="12"/>
      <color indexed="8"/>
      <name val="Verdana"/>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3"/>
      <color indexed="8"/>
      <name val="Verdana"/>
      <family val="2"/>
    </font>
    <font>
      <sz val="12"/>
      <name val="Times New Roman"/>
      <family val="1"/>
    </font>
    <font>
      <b/>
      <sz val="8"/>
      <color indexed="8"/>
      <name val="Verdana"/>
      <family val="2"/>
    </font>
    <font>
      <sz val="11"/>
      <color indexed="8"/>
      <name val="Calibri"/>
      <family val="2"/>
    </font>
    <font>
      <sz val="11"/>
      <color indexed="9"/>
      <name val="Calibri"/>
      <family val="2"/>
    </font>
    <font>
      <b/>
      <sz val="18"/>
      <color indexed="56"/>
      <name val="Cambria"/>
      <family val="2"/>
    </font>
    <font>
      <sz val="11"/>
      <color rgb="FFFF0000"/>
      <name val="Aptos Narrow"/>
      <family val="2"/>
      <scheme val="minor"/>
    </font>
    <font>
      <b/>
      <sz val="11"/>
      <color indexed="12"/>
      <name val="Aptos Narrow"/>
      <family val="2"/>
      <scheme val="minor"/>
    </font>
    <font>
      <b/>
      <u/>
      <sz val="10"/>
      <name val="Arial"/>
      <family val="2"/>
    </font>
    <font>
      <sz val="12"/>
      <color rgb="FF0000FF"/>
      <name val="Aptos"/>
      <family val="2"/>
    </font>
  </fonts>
  <fills count="22">
    <fill>
      <patternFill patternType="none"/>
    </fill>
    <fill>
      <patternFill patternType="gray125"/>
    </fill>
    <fill>
      <patternFill patternType="solid">
        <fgColor theme="5" tint="0.79998168889431442"/>
        <bgColor indexed="64"/>
      </patternFill>
    </fill>
    <fill>
      <patternFill patternType="solid">
        <fgColor indexed="60"/>
        <bgColor indexed="64"/>
      </patternFill>
    </fill>
    <fill>
      <patternFill patternType="solid">
        <fgColor indexed="62"/>
        <bgColor indexed="64"/>
      </patternFill>
    </fill>
    <fill>
      <patternFill patternType="solid">
        <fgColor indexed="63"/>
        <bgColor indexed="64"/>
      </patternFill>
    </fill>
    <fill>
      <patternFill patternType="solid">
        <fgColor indexed="56"/>
        <bgColor indexed="64"/>
      </patternFill>
    </fill>
    <fill>
      <patternFill patternType="solid">
        <fgColor indexed="31"/>
      </patternFill>
    </fill>
    <fill>
      <patternFill patternType="solid">
        <fgColor indexed="44"/>
      </patternFill>
    </fill>
    <fill>
      <patternFill patternType="solid">
        <fgColor indexed="3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26"/>
      </patternFill>
    </fill>
    <fill>
      <patternFill patternType="solid">
        <fgColor indexed="51"/>
      </patternFill>
    </fill>
    <fill>
      <patternFill patternType="solid">
        <fgColor indexed="52"/>
      </patternFill>
    </fill>
    <fill>
      <patternFill patternType="solid">
        <fgColor rgb="FFFFFF00"/>
        <bgColor indexed="64"/>
      </patternFill>
    </fill>
  </fills>
  <borders count="13">
    <border>
      <left/>
      <right/>
      <top/>
      <bottom/>
      <diagonal/>
    </border>
    <border>
      <left/>
      <right/>
      <top/>
      <bottom style="thin">
        <color auto="1"/>
      </bottom>
      <diagonal/>
    </border>
    <border>
      <left/>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auto="1"/>
      </bottom>
      <diagonal/>
    </border>
  </borders>
  <cellStyleXfs count="65">
    <xf numFmtId="0" fontId="0" fillId="0" borderId="0"/>
    <xf numFmtId="0" fontId="3" fillId="0" borderId="0"/>
    <xf numFmtId="0" fontId="1" fillId="0" borderId="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4" fillId="0" borderId="0"/>
    <xf numFmtId="0" fontId="26" fillId="0" borderId="0"/>
    <xf numFmtId="0" fontId="27" fillId="3" borderId="0"/>
    <xf numFmtId="0" fontId="28" fillId="0" borderId="0"/>
    <xf numFmtId="0" fontId="29" fillId="4" borderId="0"/>
    <xf numFmtId="0" fontId="30" fillId="5" borderId="0"/>
    <xf numFmtId="0" fontId="31" fillId="0" borderId="0"/>
    <xf numFmtId="9" fontId="3" fillId="0" borderId="0" applyFont="0" applyFill="0" applyBorder="0" applyAlignment="0" applyProtection="0"/>
    <xf numFmtId="0" fontId="32" fillId="6" borderId="0"/>
    <xf numFmtId="0" fontId="33" fillId="0" borderId="0"/>
    <xf numFmtId="0" fontId="34" fillId="0" borderId="0"/>
    <xf numFmtId="0" fontId="35" fillId="0" borderId="0">
      <alignment vertical="top"/>
    </xf>
    <xf numFmtId="0" fontId="36" fillId="0" borderId="0"/>
    <xf numFmtId="0" fontId="37" fillId="0" borderId="0">
      <alignment vertical="top"/>
    </xf>
    <xf numFmtId="0" fontId="38" fillId="0" borderId="0">
      <alignment vertical="top"/>
    </xf>
    <xf numFmtId="0" fontId="25" fillId="0" borderId="0"/>
    <xf numFmtId="9" fontId="25" fillId="0" borderId="0" applyFont="0" applyFill="0" applyBorder="0" applyAlignment="0" applyProtection="0"/>
    <xf numFmtId="0" fontId="39" fillId="0" borderId="0"/>
    <xf numFmtId="0" fontId="25" fillId="0" borderId="0"/>
    <xf numFmtId="9" fontId="25" fillId="0" borderId="0" applyFont="0" applyFill="0" applyBorder="0" applyAlignment="0" applyProtection="0"/>
    <xf numFmtId="43"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40" fillId="0" borderId="0" applyAlignment="0"/>
    <xf numFmtId="0" fontId="40" fillId="0" borderId="0" applyAlignment="0"/>
    <xf numFmtId="0" fontId="40" fillId="0" borderId="0" applyAlignment="0"/>
    <xf numFmtId="0" fontId="40" fillId="0" borderId="0" applyAlignment="0"/>
    <xf numFmtId="0" fontId="28" fillId="0" borderId="0" applyAlignment="0"/>
    <xf numFmtId="0" fontId="1" fillId="0" borderId="0"/>
    <xf numFmtId="9" fontId="1" fillId="0" borderId="0" applyFont="0" applyFill="0" applyBorder="0" applyAlignment="0" applyProtection="0"/>
    <xf numFmtId="0" fontId="41" fillId="7" borderId="0" applyNumberFormat="0" applyBorder="0" applyAlignment="0" applyProtection="0"/>
    <xf numFmtId="0" fontId="41" fillId="8" borderId="0" applyNumberFormat="0" applyBorder="0" applyAlignment="0" applyProtection="0"/>
    <xf numFmtId="0" fontId="42"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1" fillId="7" borderId="0" applyNumberFormat="0" applyBorder="0" applyAlignment="0" applyProtection="0"/>
    <xf numFmtId="0" fontId="42" fillId="8"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0" borderId="0" applyNumberFormat="0" applyBorder="0" applyAlignment="0" applyProtection="0"/>
    <xf numFmtId="0" fontId="43" fillId="0" borderId="0" applyNumberFormat="0" applyFill="0" applyBorder="0" applyAlignment="0" applyProtection="0"/>
    <xf numFmtId="43" fontId="3"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 fillId="0" borderId="0"/>
    <xf numFmtId="9" fontId="25" fillId="0" borderId="0" applyFont="0" applyFill="0" applyBorder="0" applyAlignment="0" applyProtection="0"/>
    <xf numFmtId="0" fontId="25" fillId="0" borderId="0"/>
  </cellStyleXfs>
  <cellXfs count="334">
    <xf numFmtId="0" fontId="0" fillId="0" borderId="0" xfId="0"/>
    <xf numFmtId="0" fontId="4" fillId="0" borderId="0" xfId="1" applyFont="1"/>
    <xf numFmtId="0" fontId="2" fillId="0" borderId="0" xfId="1" applyFont="1"/>
    <xf numFmtId="0" fontId="2" fillId="0" borderId="0" xfId="2" applyFont="1"/>
    <xf numFmtId="0" fontId="5" fillId="0" borderId="0" xfId="1" applyFont="1"/>
    <xf numFmtId="0" fontId="4" fillId="0" borderId="0" xfId="1" applyFont="1" applyAlignment="1">
      <alignment horizontal="left"/>
    </xf>
    <xf numFmtId="0" fontId="7" fillId="0" borderId="0" xfId="1" applyFont="1"/>
    <xf numFmtId="3" fontId="1" fillId="0" borderId="0" xfId="1" applyNumberFormat="1" applyFont="1"/>
    <xf numFmtId="3" fontId="2" fillId="0" borderId="0" xfId="1" applyNumberFormat="1" applyFont="1"/>
    <xf numFmtId="3" fontId="4" fillId="0" borderId="0" xfId="1" applyNumberFormat="1" applyFont="1"/>
    <xf numFmtId="3" fontId="5" fillId="0" borderId="0" xfId="1" applyNumberFormat="1" applyFont="1" applyAlignment="1">
      <alignment horizontal="left" indent="1"/>
    </xf>
    <xf numFmtId="3" fontId="8" fillId="0" borderId="0" xfId="1" applyNumberFormat="1" applyFont="1"/>
    <xf numFmtId="3" fontId="5" fillId="0" borderId="0" xfId="1" applyNumberFormat="1" applyFont="1"/>
    <xf numFmtId="3" fontId="5" fillId="0" borderId="1" xfId="1" applyNumberFormat="1" applyFont="1" applyBorder="1" applyAlignment="1">
      <alignment horizontal="left" indent="1"/>
    </xf>
    <xf numFmtId="3" fontId="8" fillId="0" borderId="1" xfId="1" applyNumberFormat="1" applyFont="1" applyBorder="1"/>
    <xf numFmtId="3" fontId="5" fillId="0" borderId="1" xfId="1" applyNumberFormat="1" applyFont="1" applyBorder="1"/>
    <xf numFmtId="3" fontId="1" fillId="0" borderId="1" xfId="1" applyNumberFormat="1" applyFont="1" applyBorder="1"/>
    <xf numFmtId="3" fontId="2" fillId="0" borderId="0" xfId="2" applyNumberFormat="1" applyFont="1"/>
    <xf numFmtId="9" fontId="9" fillId="0" borderId="0" xfId="3" applyFont="1"/>
    <xf numFmtId="3" fontId="10" fillId="0" borderId="0" xfId="1" applyNumberFormat="1" applyFont="1"/>
    <xf numFmtId="9" fontId="9" fillId="0" borderId="0" xfId="3" applyFont="1" applyFill="1"/>
    <xf numFmtId="9" fontId="11" fillId="0" borderId="0" xfId="3" applyFont="1" applyFill="1"/>
    <xf numFmtId="9" fontId="9" fillId="0" borderId="0" xfId="3" applyFont="1" applyAlignment="1">
      <alignment horizontal="left" indent="1"/>
    </xf>
    <xf numFmtId="9" fontId="10" fillId="0" borderId="0" xfId="1" applyNumberFormat="1" applyFont="1"/>
    <xf numFmtId="9" fontId="9" fillId="0" borderId="0" xfId="3" applyFont="1" applyFill="1" applyAlignment="1">
      <alignment horizontal="left" indent="1"/>
    </xf>
    <xf numFmtId="164" fontId="9" fillId="0" borderId="0" xfId="3" applyNumberFormat="1" applyFont="1" applyFill="1"/>
    <xf numFmtId="9" fontId="9" fillId="0" borderId="0" xfId="4" applyFont="1" applyFill="1"/>
    <xf numFmtId="9" fontId="14" fillId="0" borderId="0" xfId="3" applyFont="1" applyFill="1" applyAlignment="1">
      <alignment horizontal="left"/>
    </xf>
    <xf numFmtId="3" fontId="9" fillId="0" borderId="0" xfId="1" applyNumberFormat="1" applyFont="1"/>
    <xf numFmtId="3" fontId="2" fillId="0" borderId="0" xfId="1" applyNumberFormat="1" applyFont="1" applyAlignment="1">
      <alignment horizontal="left"/>
    </xf>
    <xf numFmtId="165" fontId="2" fillId="0" borderId="0" xfId="2" applyNumberFormat="1" applyFont="1"/>
    <xf numFmtId="3" fontId="5" fillId="0" borderId="0" xfId="1" applyNumberFormat="1" applyFont="1" applyAlignment="1">
      <alignment horizontal="left"/>
    </xf>
    <xf numFmtId="164" fontId="9" fillId="0" borderId="0" xfId="3" applyNumberFormat="1" applyFont="1"/>
    <xf numFmtId="3" fontId="1" fillId="0" borderId="0" xfId="1" applyNumberFormat="1" applyFont="1" applyAlignment="1">
      <alignment horizontal="left" indent="1"/>
    </xf>
    <xf numFmtId="3" fontId="4" fillId="0" borderId="2" xfId="1" applyNumberFormat="1" applyFont="1" applyBorder="1"/>
    <xf numFmtId="164" fontId="9" fillId="0" borderId="0" xfId="3" applyNumberFormat="1" applyFont="1" applyAlignment="1">
      <alignment horizontal="left" indent="1"/>
    </xf>
    <xf numFmtId="0" fontId="11" fillId="0" borderId="0" xfId="2" applyFont="1"/>
    <xf numFmtId="164" fontId="5" fillId="0" borderId="0" xfId="3" applyNumberFormat="1" applyFont="1"/>
    <xf numFmtId="164" fontId="1" fillId="0" borderId="0" xfId="3" applyNumberFormat="1" applyFont="1" applyFill="1"/>
    <xf numFmtId="164" fontId="12" fillId="0" borderId="0" xfId="3" applyNumberFormat="1" applyFont="1" applyFill="1"/>
    <xf numFmtId="164" fontId="10" fillId="0" borderId="0" xfId="3" applyNumberFormat="1" applyFont="1" applyFill="1"/>
    <xf numFmtId="164" fontId="10" fillId="0" borderId="0" xfId="1" applyNumberFormat="1" applyFont="1"/>
    <xf numFmtId="3" fontId="8" fillId="0" borderId="0" xfId="2" applyNumberFormat="1" applyFont="1"/>
    <xf numFmtId="3" fontId="13" fillId="0" borderId="0" xfId="1" applyNumberFormat="1" applyFont="1"/>
    <xf numFmtId="166" fontId="8" fillId="0" borderId="0" xfId="1" applyNumberFormat="1" applyFont="1"/>
    <xf numFmtId="166" fontId="5" fillId="0" borderId="0" xfId="1" applyNumberFormat="1" applyFont="1"/>
    <xf numFmtId="166" fontId="1" fillId="0" borderId="0" xfId="1" applyNumberFormat="1" applyFont="1"/>
    <xf numFmtId="164" fontId="10" fillId="0" borderId="0" xfId="3" applyNumberFormat="1" applyFont="1"/>
    <xf numFmtId="3" fontId="5" fillId="0" borderId="2" xfId="1" applyNumberFormat="1" applyFont="1" applyBorder="1"/>
    <xf numFmtId="3" fontId="8" fillId="0" borderId="0" xfId="1" applyNumberFormat="1" applyFont="1" applyAlignment="1">
      <alignment horizontal="right"/>
    </xf>
    <xf numFmtId="164" fontId="5" fillId="0" borderId="0" xfId="1" applyNumberFormat="1" applyFont="1"/>
    <xf numFmtId="3" fontId="7" fillId="0" borderId="0" xfId="1" applyNumberFormat="1" applyFont="1"/>
    <xf numFmtId="164" fontId="12" fillId="0" borderId="0" xfId="3" applyNumberFormat="1" applyFont="1" applyBorder="1"/>
    <xf numFmtId="164" fontId="12" fillId="0" borderId="0" xfId="3" applyNumberFormat="1" applyFont="1"/>
    <xf numFmtId="164" fontId="12" fillId="0" borderId="0" xfId="3" applyNumberFormat="1" applyFont="1" applyFill="1" applyBorder="1"/>
    <xf numFmtId="164" fontId="11" fillId="0" borderId="0" xfId="3" applyNumberFormat="1" applyFont="1" applyFill="1"/>
    <xf numFmtId="164" fontId="11" fillId="0" borderId="0" xfId="3" applyNumberFormat="1" applyFont="1"/>
    <xf numFmtId="164" fontId="2" fillId="0" borderId="1" xfId="2" applyNumberFormat="1" applyFont="1" applyBorder="1"/>
    <xf numFmtId="164" fontId="2" fillId="0" borderId="1" xfId="3" applyNumberFormat="1" applyFont="1" applyFill="1" applyBorder="1"/>
    <xf numFmtId="164" fontId="2" fillId="0" borderId="1" xfId="3" applyNumberFormat="1" applyFont="1" applyBorder="1"/>
    <xf numFmtId="3" fontId="2" fillId="0" borderId="0" xfId="3" applyNumberFormat="1" applyFont="1"/>
    <xf numFmtId="164" fontId="2" fillId="0" borderId="0" xfId="2" applyNumberFormat="1" applyFont="1"/>
    <xf numFmtId="164" fontId="2" fillId="0" borderId="0" xfId="3" applyNumberFormat="1" applyFont="1" applyFill="1"/>
    <xf numFmtId="164" fontId="2" fillId="0" borderId="0" xfId="3" applyNumberFormat="1" applyFont="1"/>
    <xf numFmtId="3" fontId="2" fillId="0" borderId="0" xfId="3" applyNumberFormat="1" applyFont="1" applyFill="1"/>
    <xf numFmtId="0" fontId="5" fillId="0" borderId="1" xfId="1" applyFont="1" applyBorder="1" applyAlignment="1">
      <alignment horizontal="left" indent="1"/>
    </xf>
    <xf numFmtId="164" fontId="8" fillId="0" borderId="1" xfId="3" applyNumberFormat="1" applyFont="1" applyBorder="1"/>
    <xf numFmtId="3" fontId="1" fillId="0" borderId="1" xfId="3" applyNumberFormat="1" applyFont="1" applyBorder="1"/>
    <xf numFmtId="3" fontId="1" fillId="0" borderId="1" xfId="3" applyNumberFormat="1" applyFont="1" applyFill="1" applyBorder="1"/>
    <xf numFmtId="164" fontId="8" fillId="0" borderId="0" xfId="3" applyNumberFormat="1" applyFont="1"/>
    <xf numFmtId="3" fontId="1" fillId="0" borderId="0" xfId="3" applyNumberFormat="1" applyFont="1"/>
    <xf numFmtId="0" fontId="9" fillId="0" borderId="0" xfId="1" applyFont="1" applyAlignment="1">
      <alignment horizontal="left" indent="1"/>
    </xf>
    <xf numFmtId="0" fontId="10" fillId="0" borderId="0" xfId="1" applyFont="1" applyAlignment="1">
      <alignment horizontal="left" indent="1"/>
    </xf>
    <xf numFmtId="164" fontId="13" fillId="0" borderId="0" xfId="3" applyNumberFormat="1" applyFont="1"/>
    <xf numFmtId="164" fontId="15" fillId="0" borderId="0" xfId="3" applyNumberFormat="1" applyFont="1"/>
    <xf numFmtId="164" fontId="15" fillId="0" borderId="0" xfId="3" applyNumberFormat="1" applyFont="1" applyFill="1"/>
    <xf numFmtId="164" fontId="13" fillId="0" borderId="0" xfId="3" applyNumberFormat="1" applyFont="1" applyFill="1"/>
    <xf numFmtId="164" fontId="16" fillId="0" borderId="0" xfId="3" applyNumberFormat="1" applyFont="1" applyFill="1"/>
    <xf numFmtId="0" fontId="17" fillId="0" borderId="0" xfId="2" applyFont="1"/>
    <xf numFmtId="3" fontId="1" fillId="0" borderId="0" xfId="3" applyNumberFormat="1" applyFont="1" applyBorder="1"/>
    <xf numFmtId="3" fontId="1" fillId="0" borderId="1" xfId="1" applyNumberFormat="1" applyFont="1" applyBorder="1" applyAlignment="1">
      <alignment horizontal="left" indent="1"/>
    </xf>
    <xf numFmtId="3" fontId="1" fillId="0" borderId="0" xfId="3" applyNumberFormat="1" applyFont="1" applyFill="1"/>
    <xf numFmtId="164" fontId="11" fillId="0" borderId="0" xfId="3" applyNumberFormat="1" applyFont="1" applyBorder="1" applyAlignment="1">
      <alignment horizontal="left" indent="1"/>
    </xf>
    <xf numFmtId="3" fontId="4" fillId="0" borderId="0" xfId="1" applyNumberFormat="1" applyFont="1" applyAlignment="1">
      <alignment horizontal="left"/>
    </xf>
    <xf numFmtId="3" fontId="13" fillId="0" borderId="0" xfId="3" applyNumberFormat="1" applyFont="1"/>
    <xf numFmtId="3" fontId="10" fillId="0" borderId="0" xfId="3" applyNumberFormat="1" applyFont="1"/>
    <xf numFmtId="3" fontId="10" fillId="0" borderId="0" xfId="3" applyNumberFormat="1" applyFont="1" applyFill="1"/>
    <xf numFmtId="3" fontId="16" fillId="0" borderId="0" xfId="3" applyNumberFormat="1" applyFont="1" applyFill="1"/>
    <xf numFmtId="3" fontId="8" fillId="0" borderId="2" xfId="1" applyNumberFormat="1" applyFont="1" applyBorder="1"/>
    <xf numFmtId="3" fontId="1" fillId="0" borderId="2" xfId="1" applyNumberFormat="1" applyFont="1" applyBorder="1"/>
    <xf numFmtId="3" fontId="18" fillId="0" borderId="0" xfId="1" applyNumberFormat="1" applyFont="1"/>
    <xf numFmtId="3" fontId="19" fillId="0" borderId="0" xfId="1" applyNumberFormat="1" applyFont="1"/>
    <xf numFmtId="0" fontId="19" fillId="0" borderId="0" xfId="2" applyFont="1"/>
    <xf numFmtId="37" fontId="5" fillId="0" borderId="0" xfId="1" applyNumberFormat="1" applyFont="1"/>
    <xf numFmtId="0" fontId="8" fillId="0" borderId="0" xfId="1" applyFont="1"/>
    <xf numFmtId="37" fontId="1" fillId="0" borderId="0" xfId="1" applyNumberFormat="1" applyFont="1"/>
    <xf numFmtId="0" fontId="1" fillId="0" borderId="0" xfId="1" applyFont="1"/>
    <xf numFmtId="1" fontId="8" fillId="0" borderId="0" xfId="1" applyNumberFormat="1" applyFont="1"/>
    <xf numFmtId="37" fontId="8" fillId="0" borderId="0" xfId="1" applyNumberFormat="1" applyFont="1"/>
    <xf numFmtId="37" fontId="5" fillId="0" borderId="1" xfId="1" applyNumberFormat="1" applyFont="1" applyBorder="1"/>
    <xf numFmtId="0" fontId="5" fillId="0" borderId="2" xfId="1" applyFont="1" applyBorder="1"/>
    <xf numFmtId="37" fontId="8" fillId="0" borderId="2" xfId="1" applyNumberFormat="1" applyFont="1" applyBorder="1"/>
    <xf numFmtId="37" fontId="4" fillId="0" borderId="0" xfId="1" applyNumberFormat="1" applyFont="1"/>
    <xf numFmtId="37" fontId="1" fillId="0" borderId="2" xfId="1" applyNumberFormat="1" applyFont="1" applyBorder="1"/>
    <xf numFmtId="37" fontId="20" fillId="0" borderId="0" xfId="1" applyNumberFormat="1" applyFont="1"/>
    <xf numFmtId="37" fontId="1" fillId="0" borderId="1" xfId="1" applyNumberFormat="1" applyFont="1" applyBorder="1"/>
    <xf numFmtId="0" fontId="1" fillId="0" borderId="2" xfId="1" applyFont="1" applyBorder="1"/>
    <xf numFmtId="37" fontId="2" fillId="0" borderId="0" xfId="1" applyNumberFormat="1" applyFont="1"/>
    <xf numFmtId="37" fontId="20" fillId="0" borderId="1" xfId="1" applyNumberFormat="1" applyFont="1" applyBorder="1"/>
    <xf numFmtId="166" fontId="4" fillId="0" borderId="0" xfId="1" applyNumberFormat="1" applyFont="1"/>
    <xf numFmtId="164" fontId="9" fillId="0" borderId="0" xfId="1" applyNumberFormat="1" applyFont="1" applyAlignment="1">
      <alignment horizontal="left" indent="1"/>
    </xf>
    <xf numFmtId="9" fontId="10" fillId="0" borderId="0" xfId="3" applyFont="1"/>
    <xf numFmtId="164" fontId="4" fillId="0" borderId="0" xfId="1" applyNumberFormat="1" applyFont="1"/>
    <xf numFmtId="0" fontId="9" fillId="0" borderId="0" xfId="1" applyFont="1" applyAlignment="1">
      <alignment horizontal="left" indent="2"/>
    </xf>
    <xf numFmtId="166" fontId="13" fillId="0" borderId="0" xfId="1" applyNumberFormat="1" applyFont="1"/>
    <xf numFmtId="164" fontId="1" fillId="0" borderId="0" xfId="3" applyNumberFormat="1" applyFont="1"/>
    <xf numFmtId="164" fontId="8" fillId="0" borderId="0" xfId="3" applyNumberFormat="1" applyFont="1" applyFill="1"/>
    <xf numFmtId="2" fontId="2" fillId="0" borderId="0" xfId="2" applyNumberFormat="1" applyFont="1"/>
    <xf numFmtId="3" fontId="8" fillId="0" borderId="0" xfId="3" applyNumberFormat="1" applyFont="1"/>
    <xf numFmtId="3" fontId="9" fillId="0" borderId="0" xfId="3" applyNumberFormat="1" applyFont="1"/>
    <xf numFmtId="3" fontId="8" fillId="0" borderId="0" xfId="3" applyNumberFormat="1" applyFont="1" applyFill="1"/>
    <xf numFmtId="3" fontId="11" fillId="0" borderId="0" xfId="3" applyNumberFormat="1" applyFont="1"/>
    <xf numFmtId="3" fontId="5" fillId="0" borderId="1" xfId="3" applyNumberFormat="1" applyFont="1" applyBorder="1"/>
    <xf numFmtId="3" fontId="8" fillId="0" borderId="1" xfId="3" applyNumberFormat="1" applyFont="1" applyFill="1" applyBorder="1"/>
    <xf numFmtId="3" fontId="9" fillId="0" borderId="1" xfId="3" applyNumberFormat="1" applyFont="1" applyBorder="1"/>
    <xf numFmtId="3" fontId="5" fillId="0" borderId="1" xfId="3" applyNumberFormat="1" applyFont="1" applyFill="1" applyBorder="1"/>
    <xf numFmtId="3" fontId="16" fillId="0" borderId="0" xfId="3" applyNumberFormat="1" applyFont="1"/>
    <xf numFmtId="164" fontId="1" fillId="0" borderId="1" xfId="3" applyNumberFormat="1" applyFont="1" applyFill="1" applyBorder="1"/>
    <xf numFmtId="164" fontId="1" fillId="0" borderId="1" xfId="3" applyNumberFormat="1" applyFont="1" applyBorder="1"/>
    <xf numFmtId="166" fontId="2" fillId="0" borderId="0" xfId="2" applyNumberFormat="1" applyFont="1"/>
    <xf numFmtId="2" fontId="4" fillId="0" borderId="0" xfId="1" applyNumberFormat="1" applyFont="1"/>
    <xf numFmtId="3" fontId="1" fillId="0" borderId="0" xfId="1" applyNumberFormat="1" applyFont="1" applyAlignment="1">
      <alignment horizontal="left"/>
    </xf>
    <xf numFmtId="9" fontId="7" fillId="0" borderId="0" xfId="3" applyFont="1" applyAlignment="1">
      <alignment horizontal="left"/>
    </xf>
    <xf numFmtId="3" fontId="8" fillId="2" borderId="0" xfId="2" applyNumberFormat="1" applyFont="1" applyFill="1"/>
    <xf numFmtId="164" fontId="15" fillId="2" borderId="0" xfId="3" applyNumberFormat="1" applyFont="1" applyFill="1"/>
    <xf numFmtId="9" fontId="9" fillId="0" borderId="0" xfId="3" applyFont="1" applyFill="1" applyAlignment="1">
      <alignment horizontal="left" indent="2"/>
    </xf>
    <xf numFmtId="3" fontId="8" fillId="2" borderId="0" xfId="3" applyNumberFormat="1" applyFont="1" applyFill="1" applyBorder="1"/>
    <xf numFmtId="3" fontId="8" fillId="2" borderId="1" xfId="3" applyNumberFormat="1" applyFont="1" applyFill="1" applyBorder="1"/>
    <xf numFmtId="0" fontId="2" fillId="0" borderId="2" xfId="2" applyFont="1" applyBorder="1"/>
    <xf numFmtId="164" fontId="12" fillId="2" borderId="0" xfId="3" applyNumberFormat="1" applyFont="1" applyFill="1"/>
    <xf numFmtId="3" fontId="8" fillId="2" borderId="0" xfId="1" applyNumberFormat="1" applyFont="1" applyFill="1"/>
    <xf numFmtId="3" fontId="13" fillId="2" borderId="0" xfId="1" applyNumberFormat="1" applyFont="1" applyFill="1"/>
    <xf numFmtId="164" fontId="8" fillId="2" borderId="0" xfId="3" applyNumberFormat="1" applyFont="1" applyFill="1"/>
    <xf numFmtId="3" fontId="2" fillId="0" borderId="0" xfId="2" applyNumberFormat="1" applyFont="1" applyAlignment="1">
      <alignment horizontal="left"/>
    </xf>
    <xf numFmtId="3" fontId="2" fillId="0" borderId="0" xfId="3" applyNumberFormat="1" applyFont="1" applyBorder="1"/>
    <xf numFmtId="164" fontId="2" fillId="0" borderId="0" xfId="3" applyNumberFormat="1" applyFont="1" applyBorder="1"/>
    <xf numFmtId="0" fontId="9" fillId="0" borderId="0" xfId="1" applyFont="1" applyAlignment="1">
      <alignment horizontal="left" indent="3"/>
    </xf>
    <xf numFmtId="164" fontId="9" fillId="0" borderId="0" xfId="5" applyNumberFormat="1" applyFont="1" applyAlignment="1">
      <alignment horizontal="left" indent="1"/>
    </xf>
    <xf numFmtId="164" fontId="9" fillId="0" borderId="0" xfId="5" applyNumberFormat="1" applyFont="1"/>
    <xf numFmtId="164" fontId="11" fillId="0" borderId="0" xfId="5" applyNumberFormat="1" applyFont="1"/>
    <xf numFmtId="164" fontId="2" fillId="0" borderId="0" xfId="3" applyNumberFormat="1" applyFont="1" applyFill="1" applyBorder="1"/>
    <xf numFmtId="164" fontId="16" fillId="0" borderId="0" xfId="2" applyNumberFormat="1" applyFont="1"/>
    <xf numFmtId="164" fontId="9" fillId="0" borderId="0" xfId="3" applyNumberFormat="1" applyFont="1" applyFill="1" applyAlignment="1">
      <alignment horizontal="left"/>
    </xf>
    <xf numFmtId="164" fontId="9" fillId="0" borderId="0" xfId="3" applyNumberFormat="1" applyFont="1" applyFill="1" applyAlignment="1">
      <alignment horizontal="left" indent="2"/>
    </xf>
    <xf numFmtId="164" fontId="9" fillId="0" borderId="0" xfId="3" applyNumberFormat="1" applyFont="1" applyFill="1" applyAlignment="1">
      <alignment horizontal="left" indent="1"/>
    </xf>
    <xf numFmtId="164" fontId="9" fillId="0" borderId="0" xfId="4" applyNumberFormat="1" applyFont="1" applyFill="1"/>
    <xf numFmtId="3" fontId="8" fillId="0" borderId="0" xfId="3" applyNumberFormat="1" applyFont="1" applyFill="1" applyBorder="1"/>
    <xf numFmtId="3" fontId="13" fillId="2" borderId="0" xfId="6" applyNumberFormat="1" applyFont="1" applyFill="1"/>
    <xf numFmtId="0" fontId="2" fillId="0" borderId="3" xfId="57" applyFont="1" applyBorder="1" applyAlignment="1">
      <alignment horizontal="center" vertical="center" wrapText="1"/>
    </xf>
    <xf numFmtId="3" fontId="2" fillId="0" borderId="4" xfId="57" applyNumberFormat="1" applyFont="1" applyBorder="1" applyAlignment="1">
      <alignment horizontal="center" vertical="center" wrapText="1"/>
    </xf>
    <xf numFmtId="9" fontId="2" fillId="0" borderId="4" xfId="58" applyFont="1" applyBorder="1" applyAlignment="1">
      <alignment horizontal="center" vertical="center" wrapText="1"/>
    </xf>
    <xf numFmtId="9" fontId="13" fillId="0" borderId="0" xfId="58" applyFont="1" applyAlignment="1">
      <alignment horizontal="center" vertical="center"/>
    </xf>
    <xf numFmtId="0" fontId="2" fillId="0" borderId="0" xfId="57" applyFont="1" applyAlignment="1">
      <alignment horizontal="center" vertical="center" wrapText="1"/>
    </xf>
    <xf numFmtId="0" fontId="17" fillId="0" borderId="5" xfId="57" applyFont="1" applyBorder="1" applyAlignment="1">
      <alignment horizontal="left" vertical="center" wrapText="1"/>
    </xf>
    <xf numFmtId="3" fontId="2" fillId="0" borderId="6" xfId="57" applyNumberFormat="1" applyFont="1" applyBorder="1" applyAlignment="1">
      <alignment horizontal="center" vertical="center" wrapText="1"/>
    </xf>
    <xf numFmtId="9" fontId="2" fillId="0" borderId="6" xfId="58" applyFont="1" applyBorder="1" applyAlignment="1">
      <alignment horizontal="center" vertical="center" wrapText="1"/>
    </xf>
    <xf numFmtId="166" fontId="1" fillId="0" borderId="0" xfId="57" applyNumberFormat="1" applyAlignment="1">
      <alignment horizontal="left" vertical="center"/>
    </xf>
    <xf numFmtId="166" fontId="1" fillId="0" borderId="6" xfId="57" applyNumberFormat="1" applyBorder="1" applyAlignment="1">
      <alignment horizontal="center" vertical="center" wrapText="1"/>
    </xf>
    <xf numFmtId="166" fontId="1" fillId="0" borderId="0" xfId="57" applyNumberFormat="1" applyAlignment="1">
      <alignment horizontal="center" vertical="center" wrapText="1"/>
    </xf>
    <xf numFmtId="3" fontId="1" fillId="0" borderId="5" xfId="57" applyNumberFormat="1" applyBorder="1" applyAlignment="1">
      <alignment horizontal="left" vertical="center" wrapText="1"/>
    </xf>
    <xf numFmtId="3" fontId="1" fillId="0" borderId="0" xfId="57" applyNumberFormat="1" applyAlignment="1">
      <alignment horizontal="center" vertical="center" wrapText="1"/>
    </xf>
    <xf numFmtId="0" fontId="1" fillId="0" borderId="0" xfId="57" applyAlignment="1">
      <alignment horizontal="center" vertical="center" wrapText="1"/>
    </xf>
    <xf numFmtId="3" fontId="1" fillId="0" borderId="6" xfId="57" applyNumberFormat="1" applyBorder="1" applyAlignment="1">
      <alignment horizontal="center" vertical="center" wrapText="1"/>
    </xf>
    <xf numFmtId="0" fontId="2" fillId="0" borderId="0" xfId="57" applyFont="1" applyAlignment="1">
      <alignment horizontal="left" vertical="center"/>
    </xf>
    <xf numFmtId="0" fontId="1" fillId="0" borderId="5" xfId="57" applyBorder="1" applyAlignment="1">
      <alignment horizontal="left" vertical="center" wrapText="1"/>
    </xf>
    <xf numFmtId="0" fontId="1" fillId="0" borderId="0" xfId="57" applyAlignment="1">
      <alignment horizontal="left" vertical="center"/>
    </xf>
    <xf numFmtId="3" fontId="8" fillId="0" borderId="6" xfId="57" applyNumberFormat="1" applyFont="1" applyBorder="1" applyAlignment="1">
      <alignment horizontal="center" vertical="center" wrapText="1"/>
    </xf>
    <xf numFmtId="9" fontId="8" fillId="0" borderId="6" xfId="58" applyFont="1" applyBorder="1" applyAlignment="1">
      <alignment horizontal="center" vertical="center" wrapText="1"/>
    </xf>
    <xf numFmtId="0" fontId="1" fillId="0" borderId="0" xfId="57" applyAlignment="1">
      <alignment horizontal="center" vertical="center"/>
    </xf>
    <xf numFmtId="0" fontId="2" fillId="0" borderId="5" xfId="57" applyFont="1" applyBorder="1" applyAlignment="1">
      <alignment horizontal="left" vertical="center" wrapText="1"/>
    </xf>
    <xf numFmtId="0" fontId="1" fillId="0" borderId="7" xfId="57" applyBorder="1" applyAlignment="1">
      <alignment horizontal="left" vertical="center" wrapText="1"/>
    </xf>
    <xf numFmtId="3" fontId="1" fillId="0" borderId="1" xfId="57" applyNumberFormat="1" applyBorder="1" applyAlignment="1">
      <alignment horizontal="center" vertical="center" wrapText="1"/>
    </xf>
    <xf numFmtId="10" fontId="0" fillId="0" borderId="0" xfId="58" applyNumberFormat="1" applyFont="1" applyAlignment="1">
      <alignment horizontal="center" vertical="center" wrapText="1"/>
    </xf>
    <xf numFmtId="10" fontId="0" fillId="0" borderId="0" xfId="58" applyNumberFormat="1" applyFont="1" applyAlignment="1">
      <alignment horizontal="center" vertical="center"/>
    </xf>
    <xf numFmtId="10" fontId="3" fillId="0" borderId="0" xfId="58" applyNumberFormat="1" applyFont="1" applyAlignment="1">
      <alignment horizontal="left" vertical="center"/>
    </xf>
    <xf numFmtId="0" fontId="1" fillId="0" borderId="0" xfId="57" applyAlignment="1">
      <alignment horizontal="left" vertical="center" wrapText="1"/>
    </xf>
    <xf numFmtId="0" fontId="2" fillId="0" borderId="0" xfId="0" applyFont="1"/>
    <xf numFmtId="0" fontId="17"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2" fillId="0" borderId="0" xfId="0" applyFont="1" applyAlignment="1">
      <alignment horizontal="left"/>
    </xf>
    <xf numFmtId="0" fontId="0" fillId="0" borderId="0" xfId="0" applyAlignment="1">
      <alignment wrapText="1"/>
    </xf>
    <xf numFmtId="0" fontId="2" fillId="0" borderId="0" xfId="0" applyFont="1" applyAlignment="1">
      <alignment wrapText="1"/>
    </xf>
    <xf numFmtId="3" fontId="1" fillId="0" borderId="6" xfId="13" applyNumberFormat="1" applyFont="1" applyBorder="1" applyAlignment="1">
      <alignment horizontal="center" vertical="center" wrapText="1"/>
    </xf>
    <xf numFmtId="3" fontId="1" fillId="0" borderId="6" xfId="58" applyNumberFormat="1" applyFont="1" applyBorder="1" applyAlignment="1">
      <alignment horizontal="center" vertical="center" wrapText="1"/>
    </xf>
    <xf numFmtId="3" fontId="1" fillId="0" borderId="0" xfId="57" applyNumberFormat="1" applyAlignment="1">
      <alignment horizontal="left" vertical="center"/>
    </xf>
    <xf numFmtId="2" fontId="1" fillId="0" borderId="0" xfId="57" applyNumberFormat="1" applyAlignment="1">
      <alignment horizontal="left" vertical="center"/>
    </xf>
    <xf numFmtId="2" fontId="1" fillId="0" borderId="0" xfId="57" applyNumberFormat="1" applyAlignment="1">
      <alignment horizontal="center" vertical="center" wrapText="1"/>
    </xf>
    <xf numFmtId="2" fontId="8" fillId="2" borderId="6" xfId="13" applyNumberFormat="1" applyFont="1" applyFill="1" applyBorder="1" applyAlignment="1">
      <alignment horizontal="center" vertical="center" wrapText="1"/>
    </xf>
    <xf numFmtId="3" fontId="0" fillId="0" borderId="5" xfId="57" applyNumberFormat="1" applyFont="1" applyBorder="1" applyAlignment="1">
      <alignment horizontal="left" vertical="center" wrapText="1"/>
    </xf>
    <xf numFmtId="3" fontId="8" fillId="2" borderId="6" xfId="57" applyNumberFormat="1" applyFont="1" applyFill="1" applyBorder="1" applyAlignment="1">
      <alignment horizontal="center" vertical="center" wrapText="1"/>
    </xf>
    <xf numFmtId="9" fontId="8" fillId="0" borderId="6" xfId="5" applyFont="1" applyFill="1" applyBorder="1" applyAlignment="1">
      <alignment horizontal="center" vertical="center" wrapText="1"/>
    </xf>
    <xf numFmtId="166" fontId="8" fillId="2" borderId="8" xfId="57" applyNumberFormat="1" applyFont="1" applyFill="1" applyBorder="1" applyAlignment="1">
      <alignment horizontal="center" vertical="center" wrapText="1"/>
    </xf>
    <xf numFmtId="2" fontId="1" fillId="0" borderId="5" xfId="57" applyNumberFormat="1" applyBorder="1" applyAlignment="1">
      <alignment horizontal="left" vertical="center" wrapText="1"/>
    </xf>
    <xf numFmtId="2" fontId="8" fillId="0" borderId="6" xfId="13" applyNumberFormat="1" applyFont="1" applyFill="1" applyBorder="1" applyAlignment="1">
      <alignment horizontal="center" vertical="center" wrapText="1"/>
    </xf>
    <xf numFmtId="10" fontId="0" fillId="0" borderId="0" xfId="58" applyNumberFormat="1" applyFont="1" applyAlignment="1">
      <alignment horizontal="left" vertical="center"/>
    </xf>
    <xf numFmtId="3" fontId="0" fillId="0" borderId="0" xfId="57" applyNumberFormat="1" applyFont="1" applyAlignment="1">
      <alignment horizontal="left" vertical="center"/>
    </xf>
    <xf numFmtId="2" fontId="0" fillId="0" borderId="0" xfId="57" applyNumberFormat="1" applyFont="1" applyAlignment="1">
      <alignment horizontal="left" vertical="center"/>
    </xf>
    <xf numFmtId="166" fontId="2" fillId="0" borderId="0" xfId="57" applyNumberFormat="1" applyFont="1" applyAlignment="1">
      <alignment horizontal="left" vertical="center"/>
    </xf>
    <xf numFmtId="166" fontId="0" fillId="0" borderId="0" xfId="58" applyNumberFormat="1" applyFont="1" applyAlignment="1">
      <alignment horizontal="left" vertical="center"/>
    </xf>
    <xf numFmtId="164" fontId="0" fillId="0" borderId="5" xfId="5" applyNumberFormat="1" applyFont="1" applyBorder="1" applyAlignment="1">
      <alignment horizontal="left" vertical="center" wrapText="1" indent="1"/>
    </xf>
    <xf numFmtId="164" fontId="1" fillId="0" borderId="0" xfId="5" applyNumberFormat="1" applyAlignment="1">
      <alignment horizontal="left" vertical="center"/>
    </xf>
    <xf numFmtId="164" fontId="1" fillId="0" borderId="0" xfId="5" applyNumberFormat="1" applyAlignment="1">
      <alignment horizontal="center" vertical="center" wrapText="1"/>
    </xf>
    <xf numFmtId="164" fontId="10" fillId="0" borderId="0" xfId="3" applyNumberFormat="1" applyFont="1" applyAlignment="1">
      <alignment horizontal="left" indent="1"/>
    </xf>
    <xf numFmtId="3" fontId="2" fillId="0" borderId="5" xfId="57" applyNumberFormat="1" applyFont="1" applyBorder="1" applyAlignment="1">
      <alignment horizontal="left" vertical="center" wrapText="1"/>
    </xf>
    <xf numFmtId="164" fontId="1" fillId="0" borderId="6" xfId="5" applyNumberFormat="1" applyFont="1" applyBorder="1" applyAlignment="1">
      <alignment horizontal="center" vertical="center" wrapText="1"/>
    </xf>
    <xf numFmtId="164" fontId="1" fillId="0" borderId="0" xfId="5" applyNumberFormat="1" applyFont="1" applyAlignment="1">
      <alignment horizontal="left" vertical="center"/>
    </xf>
    <xf numFmtId="164" fontId="1" fillId="0" borderId="0" xfId="5" applyNumberFormat="1" applyFont="1" applyAlignment="1">
      <alignment horizontal="center" vertical="center" wrapText="1"/>
    </xf>
    <xf numFmtId="166" fontId="2" fillId="0" borderId="0" xfId="57" applyNumberFormat="1" applyFont="1" applyAlignment="1">
      <alignment horizontal="center" vertical="center" wrapText="1"/>
    </xf>
    <xf numFmtId="164" fontId="0" fillId="0" borderId="5" xfId="5" applyNumberFormat="1" applyFont="1" applyFill="1" applyBorder="1" applyAlignment="1">
      <alignment horizontal="left" vertical="center" wrapText="1" indent="1"/>
    </xf>
    <xf numFmtId="164" fontId="8" fillId="0" borderId="6" xfId="5" applyNumberFormat="1" applyFont="1" applyFill="1" applyBorder="1" applyAlignment="1">
      <alignment horizontal="center" vertical="center" wrapText="1"/>
    </xf>
    <xf numFmtId="164" fontId="1" fillId="0" borderId="0" xfId="5" applyNumberFormat="1" applyFill="1" applyAlignment="1">
      <alignment horizontal="left" vertical="center"/>
    </xf>
    <xf numFmtId="164" fontId="1" fillId="0" borderId="0" xfId="5" applyNumberFormat="1" applyFill="1" applyAlignment="1">
      <alignment horizontal="center" vertical="center" wrapText="1"/>
    </xf>
    <xf numFmtId="164" fontId="0" fillId="0" borderId="0" xfId="5" applyNumberFormat="1" applyFont="1" applyAlignment="1">
      <alignment horizontal="left" vertical="center"/>
    </xf>
    <xf numFmtId="3" fontId="11" fillId="0" borderId="0" xfId="57" applyNumberFormat="1" applyFont="1" applyAlignment="1">
      <alignment horizontal="left" vertical="center"/>
    </xf>
    <xf numFmtId="0" fontId="11" fillId="0" borderId="0" xfId="57" applyFont="1" applyAlignment="1">
      <alignment horizontal="center" vertical="center" wrapText="1"/>
    </xf>
    <xf numFmtId="0" fontId="11" fillId="0" borderId="0" xfId="57" applyFont="1" applyAlignment="1">
      <alignment horizontal="left" vertical="center"/>
    </xf>
    <xf numFmtId="166" fontId="11" fillId="0" borderId="0" xfId="57" applyNumberFormat="1" applyFont="1" applyAlignment="1">
      <alignment horizontal="left" vertical="center"/>
    </xf>
    <xf numFmtId="3" fontId="5" fillId="21" borderId="0" xfId="1" applyNumberFormat="1" applyFont="1" applyFill="1"/>
    <xf numFmtId="0" fontId="2" fillId="0" borderId="0" xfId="57" applyFont="1" applyAlignment="1">
      <alignment horizontal="center" vertical="center"/>
    </xf>
    <xf numFmtId="9" fontId="1" fillId="0" borderId="8" xfId="13" applyFont="1" applyFill="1" applyBorder="1" applyAlignment="1">
      <alignment horizontal="center" vertical="center" wrapText="1"/>
    </xf>
    <xf numFmtId="3" fontId="2" fillId="0" borderId="0" xfId="57" applyNumberFormat="1" applyFont="1" applyAlignment="1">
      <alignment horizontal="left" vertical="center" wrapText="1"/>
    </xf>
    <xf numFmtId="3" fontId="1" fillId="0" borderId="0" xfId="57" applyNumberFormat="1" applyAlignment="1">
      <alignment horizontal="left" vertical="center" wrapText="1"/>
    </xf>
    <xf numFmtId="2" fontId="1" fillId="0" borderId="0" xfId="57" applyNumberFormat="1" applyAlignment="1">
      <alignment horizontal="left" vertical="center" wrapText="1"/>
    </xf>
    <xf numFmtId="0" fontId="2" fillId="0" borderId="0" xfId="57" applyFont="1" applyAlignment="1">
      <alignment horizontal="left" vertical="center" wrapText="1"/>
    </xf>
    <xf numFmtId="10" fontId="0" fillId="0" borderId="0" xfId="58" applyNumberFormat="1" applyFont="1" applyAlignment="1">
      <alignment horizontal="left" vertical="center" wrapText="1"/>
    </xf>
    <xf numFmtId="3" fontId="0" fillId="0" borderId="0" xfId="57" applyNumberFormat="1" applyFont="1" applyAlignment="1">
      <alignment horizontal="left" vertical="center" wrapText="1"/>
    </xf>
    <xf numFmtId="3" fontId="8" fillId="2" borderId="6" xfId="58" applyNumberFormat="1" applyFont="1" applyFill="1" applyBorder="1" applyAlignment="1">
      <alignment horizontal="center" vertical="center" wrapText="1"/>
    </xf>
    <xf numFmtId="3" fontId="0" fillId="0" borderId="0" xfId="57" applyNumberFormat="1" applyFont="1" applyAlignment="1">
      <alignment horizontal="left" vertical="center" indent="1"/>
    </xf>
    <xf numFmtId="3" fontId="0" fillId="0" borderId="0" xfId="57" applyNumberFormat="1" applyFont="1" applyAlignment="1">
      <alignment horizontal="left" vertical="center" wrapText="1" indent="1"/>
    </xf>
    <xf numFmtId="3" fontId="2" fillId="0" borderId="3" xfId="57" applyNumberFormat="1" applyFont="1" applyBorder="1" applyAlignment="1">
      <alignment horizontal="left" vertical="center" wrapText="1"/>
    </xf>
    <xf numFmtId="3" fontId="2" fillId="0" borderId="9" xfId="57" applyNumberFormat="1" applyFont="1" applyBorder="1" applyAlignment="1">
      <alignment horizontal="center" vertical="center" wrapText="1"/>
    </xf>
    <xf numFmtId="0" fontId="2" fillId="0" borderId="7" xfId="57" applyFont="1" applyBorder="1" applyAlignment="1">
      <alignment horizontal="left" vertical="center" wrapText="1"/>
    </xf>
    <xf numFmtId="166" fontId="2" fillId="0" borderId="8" xfId="57" applyNumberFormat="1" applyFont="1" applyBorder="1" applyAlignment="1">
      <alignment horizontal="center" vertical="center" wrapText="1"/>
    </xf>
    <xf numFmtId="0" fontId="1" fillId="0" borderId="3" xfId="57" applyBorder="1" applyAlignment="1">
      <alignment horizontal="left" vertical="center" wrapText="1"/>
    </xf>
    <xf numFmtId="3" fontId="8" fillId="2" borderId="9" xfId="57" applyNumberFormat="1" applyFont="1" applyFill="1" applyBorder="1" applyAlignment="1">
      <alignment horizontal="center" vertical="center" wrapText="1"/>
    </xf>
    <xf numFmtId="166" fontId="2" fillId="0" borderId="7" xfId="57" applyNumberFormat="1" applyFont="1" applyBorder="1" applyAlignment="1">
      <alignment horizontal="left" vertical="center" wrapText="1"/>
    </xf>
    <xf numFmtId="0" fontId="2" fillId="0" borderId="3" xfId="57" applyFont="1" applyBorder="1" applyAlignment="1">
      <alignment horizontal="left" vertical="center" wrapText="1"/>
    </xf>
    <xf numFmtId="166" fontId="13" fillId="2" borderId="9" xfId="57" applyNumberFormat="1" applyFont="1" applyFill="1" applyBorder="1" applyAlignment="1">
      <alignment horizontal="center" vertical="center" wrapText="1"/>
    </xf>
    <xf numFmtId="0" fontId="1" fillId="0" borderId="0" xfId="2"/>
    <xf numFmtId="37" fontId="20" fillId="0" borderId="0" xfId="0" applyNumberFormat="1" applyFont="1"/>
    <xf numFmtId="0" fontId="1" fillId="0" borderId="1" xfId="2" applyBorder="1"/>
    <xf numFmtId="165" fontId="1" fillId="0" borderId="0" xfId="2" applyNumberFormat="1"/>
    <xf numFmtId="3" fontId="1" fillId="0" borderId="0" xfId="2" applyNumberFormat="1"/>
    <xf numFmtId="166" fontId="1" fillId="0" borderId="0" xfId="2" applyNumberFormat="1"/>
    <xf numFmtId="164" fontId="1" fillId="0" borderId="0" xfId="2" applyNumberFormat="1"/>
    <xf numFmtId="164" fontId="1" fillId="0" borderId="1" xfId="2" applyNumberFormat="1" applyBorder="1"/>
    <xf numFmtId="0" fontId="1" fillId="0" borderId="0" xfId="2" applyAlignment="1">
      <alignment horizontal="left" indent="1"/>
    </xf>
    <xf numFmtId="3" fontId="1" fillId="0" borderId="1" xfId="2" applyNumberFormat="1" applyBorder="1"/>
    <xf numFmtId="164" fontId="12" fillId="0" borderId="0" xfId="5" applyNumberFormat="1" applyFont="1"/>
    <xf numFmtId="37" fontId="13" fillId="0" borderId="0" xfId="0" applyNumberFormat="1" applyFont="1"/>
    <xf numFmtId="37" fontId="45" fillId="2" borderId="0" xfId="0" applyNumberFormat="1" applyFont="1" applyFill="1"/>
    <xf numFmtId="37" fontId="20" fillId="2" borderId="0" xfId="0" applyNumberFormat="1" applyFont="1" applyFill="1"/>
    <xf numFmtId="3" fontId="1" fillId="0" borderId="0" xfId="2" applyNumberFormat="1" applyAlignment="1">
      <alignment horizontal="left" indent="2"/>
    </xf>
    <xf numFmtId="3" fontId="1" fillId="0" borderId="0" xfId="2" applyNumberFormat="1" applyAlignment="1">
      <alignment horizontal="left" indent="1"/>
    </xf>
    <xf numFmtId="3" fontId="1" fillId="0" borderId="1" xfId="2" applyNumberFormat="1" applyBorder="1" applyAlignment="1">
      <alignment horizontal="left" indent="1"/>
    </xf>
    <xf numFmtId="164" fontId="1" fillId="0" borderId="0" xfId="2" applyNumberFormat="1" applyAlignment="1">
      <alignment horizontal="left" indent="2"/>
    </xf>
    <xf numFmtId="164" fontId="1" fillId="0" borderId="0" xfId="2" applyNumberFormat="1" applyAlignment="1">
      <alignment horizontal="left" indent="1"/>
    </xf>
    <xf numFmtId="164" fontId="1" fillId="0" borderId="1" xfId="2" applyNumberFormat="1" applyBorder="1" applyAlignment="1">
      <alignment horizontal="left" indent="1"/>
    </xf>
    <xf numFmtId="37" fontId="1" fillId="0" borderId="0" xfId="0" applyNumberFormat="1" applyFont="1"/>
    <xf numFmtId="0" fontId="2" fillId="0" borderId="2" xfId="1" applyFont="1" applyBorder="1"/>
    <xf numFmtId="37" fontId="2" fillId="0" borderId="2" xfId="0" applyNumberFormat="1" applyFont="1" applyBorder="1"/>
    <xf numFmtId="37" fontId="1" fillId="0" borderId="0" xfId="2" applyNumberFormat="1"/>
    <xf numFmtId="164" fontId="12" fillId="2" borderId="0" xfId="1" applyNumberFormat="1" applyFont="1" applyFill="1"/>
    <xf numFmtId="164" fontId="9" fillId="0" borderId="0" xfId="1" applyNumberFormat="1" applyFont="1"/>
    <xf numFmtId="164" fontId="11" fillId="0" borderId="0" xfId="2" applyNumberFormat="1" applyFont="1"/>
    <xf numFmtId="164" fontId="44" fillId="0" borderId="0" xfId="3" applyNumberFormat="1" applyFont="1" applyAlignment="1">
      <alignment horizontal="left"/>
    </xf>
    <xf numFmtId="3" fontId="2" fillId="0" borderId="2" xfId="1" applyNumberFormat="1" applyFont="1" applyBorder="1" applyAlignment="1">
      <alignment horizontal="left"/>
    </xf>
    <xf numFmtId="3" fontId="2" fillId="0" borderId="2" xfId="1" applyNumberFormat="1" applyFont="1" applyBorder="1"/>
    <xf numFmtId="164" fontId="5" fillId="0" borderId="0" xfId="5" applyNumberFormat="1" applyFont="1"/>
    <xf numFmtId="3" fontId="1" fillId="0" borderId="10" xfId="57" applyNumberFormat="1" applyBorder="1" applyAlignment="1">
      <alignment horizontal="center" vertical="center" wrapText="1"/>
    </xf>
    <xf numFmtId="3" fontId="1" fillId="0" borderId="11" xfId="57" applyNumberFormat="1" applyBorder="1" applyAlignment="1">
      <alignment horizontal="center" vertical="center" wrapText="1"/>
    </xf>
    <xf numFmtId="3" fontId="1" fillId="0" borderId="12" xfId="57" applyNumberFormat="1" applyBorder="1" applyAlignment="1">
      <alignment horizontal="center" vertical="center" wrapText="1"/>
    </xf>
    <xf numFmtId="0" fontId="17" fillId="0" borderId="5" xfId="57" applyFont="1" applyBorder="1" applyAlignment="1">
      <alignment horizontal="left" wrapText="1"/>
    </xf>
    <xf numFmtId="166" fontId="2" fillId="0" borderId="9" xfId="57" applyNumberFormat="1" applyFont="1" applyBorder="1" applyAlignment="1">
      <alignment horizontal="center" vertical="center" wrapText="1"/>
    </xf>
    <xf numFmtId="0" fontId="17" fillId="0" borderId="3" xfId="57" applyFont="1" applyBorder="1" applyAlignment="1">
      <alignment horizontal="left" vertical="center"/>
    </xf>
    <xf numFmtId="3" fontId="0" fillId="0" borderId="5" xfId="57" applyNumberFormat="1" applyFont="1" applyBorder="1" applyAlignment="1">
      <alignment horizontal="left" vertical="center"/>
    </xf>
    <xf numFmtId="0" fontId="0" fillId="0" borderId="5" xfId="57" applyFont="1" applyBorder="1" applyAlignment="1">
      <alignment horizontal="left" vertical="center"/>
    </xf>
    <xf numFmtId="0" fontId="2" fillId="0" borderId="7" xfId="57" applyFont="1" applyBorder="1" applyAlignment="1">
      <alignment horizontal="left" vertical="center"/>
    </xf>
    <xf numFmtId="2" fontId="0" fillId="0" borderId="3" xfId="57" applyNumberFormat="1" applyFont="1" applyBorder="1" applyAlignment="1">
      <alignment horizontal="left" vertical="center"/>
    </xf>
    <xf numFmtId="0" fontId="1" fillId="0" borderId="7" xfId="57" applyBorder="1" applyAlignment="1">
      <alignment horizontal="left" vertical="center"/>
    </xf>
    <xf numFmtId="165" fontId="2" fillId="0" borderId="9" xfId="57" applyNumberFormat="1" applyFont="1" applyBorder="1" applyAlignment="1">
      <alignment horizontal="left" vertical="center"/>
    </xf>
    <xf numFmtId="166" fontId="1" fillId="0" borderId="8" xfId="57" applyNumberFormat="1" applyBorder="1" applyAlignment="1">
      <alignment horizontal="left" vertical="center"/>
    </xf>
    <xf numFmtId="165" fontId="2" fillId="0" borderId="8" xfId="57" applyNumberFormat="1" applyFont="1" applyBorder="1" applyAlignment="1">
      <alignment horizontal="left" vertical="center"/>
    </xf>
    <xf numFmtId="166" fontId="8" fillId="0" borderId="9" xfId="57" applyNumberFormat="1" applyFont="1" applyBorder="1" applyAlignment="1">
      <alignment horizontal="left" vertical="center"/>
    </xf>
    <xf numFmtId="166" fontId="8" fillId="0" borderId="6" xfId="57" applyNumberFormat="1" applyFont="1" applyBorder="1" applyAlignment="1">
      <alignment horizontal="left" vertical="center"/>
    </xf>
    <xf numFmtId="3" fontId="0" fillId="0" borderId="3" xfId="57" applyNumberFormat="1" applyFont="1" applyBorder="1" applyAlignment="1">
      <alignment horizontal="left" vertical="center"/>
    </xf>
    <xf numFmtId="2" fontId="1" fillId="0" borderId="7" xfId="57" applyNumberFormat="1" applyBorder="1" applyAlignment="1">
      <alignment horizontal="left" vertical="center"/>
    </xf>
    <xf numFmtId="0" fontId="17" fillId="0" borderId="6" xfId="57" applyFont="1" applyBorder="1" applyAlignment="1">
      <alignment horizontal="left" vertical="center" wrapText="1"/>
    </xf>
    <xf numFmtId="0" fontId="17" fillId="0" borderId="9" xfId="57" applyFont="1" applyBorder="1" applyAlignment="1">
      <alignment horizontal="left" vertical="center"/>
    </xf>
    <xf numFmtId="10" fontId="46" fillId="0" borderId="3" xfId="58" applyNumberFormat="1" applyFont="1" applyBorder="1" applyAlignment="1">
      <alignment horizontal="left" vertical="center"/>
    </xf>
    <xf numFmtId="10" fontId="2" fillId="0" borderId="2" xfId="58" applyNumberFormat="1" applyFont="1" applyBorder="1" applyAlignment="1">
      <alignment horizontal="center" vertical="center"/>
    </xf>
    <xf numFmtId="10" fontId="2" fillId="0" borderId="10" xfId="58" applyNumberFormat="1" applyFont="1" applyBorder="1" applyAlignment="1">
      <alignment horizontal="center" vertical="center"/>
    </xf>
    <xf numFmtId="10" fontId="3" fillId="0" borderId="5" xfId="58" applyNumberFormat="1" applyFont="1" applyBorder="1" applyAlignment="1">
      <alignment horizontal="left" vertical="center"/>
    </xf>
    <xf numFmtId="166" fontId="1" fillId="0" borderId="11" xfId="57" applyNumberFormat="1" applyBorder="1" applyAlignment="1">
      <alignment horizontal="center" vertical="center" wrapText="1"/>
    </xf>
    <xf numFmtId="9" fontId="1" fillId="0" borderId="1" xfId="5" applyBorder="1" applyAlignment="1">
      <alignment horizontal="center" vertical="center" wrapText="1"/>
    </xf>
    <xf numFmtId="9" fontId="1" fillId="0" borderId="12" xfId="5" applyBorder="1" applyAlignment="1">
      <alignment horizontal="center" vertical="center" wrapText="1"/>
    </xf>
    <xf numFmtId="10" fontId="2" fillId="0" borderId="3" xfId="58" applyNumberFormat="1" applyFont="1" applyBorder="1" applyAlignment="1">
      <alignment horizontal="center" vertical="center"/>
    </xf>
    <xf numFmtId="166" fontId="1" fillId="0" borderId="5" xfId="57" applyNumberFormat="1" applyBorder="1" applyAlignment="1">
      <alignment horizontal="center" vertical="center" wrapText="1"/>
    </xf>
    <xf numFmtId="9" fontId="1" fillId="0" borderId="7" xfId="5" applyBorder="1" applyAlignment="1">
      <alignment horizontal="center" vertical="center" wrapText="1"/>
    </xf>
    <xf numFmtId="10" fontId="3" fillId="0" borderId="3" xfId="58" applyNumberFormat="1" applyFont="1" applyBorder="1" applyAlignment="1">
      <alignment horizontal="left" vertical="center"/>
    </xf>
    <xf numFmtId="166" fontId="0" fillId="0" borderId="3" xfId="58" applyNumberFormat="1" applyFont="1" applyBorder="1" applyAlignment="1">
      <alignment horizontal="center" vertical="center"/>
    </xf>
    <xf numFmtId="166" fontId="0" fillId="0" borderId="2" xfId="58" applyNumberFormat="1" applyFont="1" applyBorder="1" applyAlignment="1">
      <alignment horizontal="center" vertical="center"/>
    </xf>
    <xf numFmtId="166" fontId="0" fillId="0" borderId="10" xfId="58" applyNumberFormat="1" applyFont="1" applyBorder="1" applyAlignment="1">
      <alignment horizontal="center" vertical="center"/>
    </xf>
    <xf numFmtId="166" fontId="2" fillId="0" borderId="3" xfId="57" applyNumberFormat="1" applyFont="1" applyBorder="1" applyAlignment="1">
      <alignment horizontal="center" vertical="center" wrapText="1"/>
    </xf>
    <xf numFmtId="166" fontId="2" fillId="0" borderId="2" xfId="57" applyNumberFormat="1" applyFont="1" applyBorder="1" applyAlignment="1">
      <alignment horizontal="center" vertical="center" wrapText="1"/>
    </xf>
    <xf numFmtId="166" fontId="2" fillId="0" borderId="10" xfId="57" applyNumberFormat="1" applyFont="1" applyBorder="1" applyAlignment="1">
      <alignment horizontal="center" vertical="center" wrapText="1"/>
    </xf>
    <xf numFmtId="0" fontId="0" fillId="0" borderId="0" xfId="2" applyFont="1"/>
    <xf numFmtId="164" fontId="0" fillId="0" borderId="1" xfId="2" applyNumberFormat="1" applyFont="1" applyBorder="1"/>
    <xf numFmtId="0" fontId="0" fillId="0" borderId="1" xfId="2" applyFont="1" applyBorder="1"/>
    <xf numFmtId="164" fontId="11" fillId="0" borderId="5" xfId="5" applyNumberFormat="1" applyFont="1" applyBorder="1" applyAlignment="1">
      <alignment horizontal="left" vertical="center" wrapText="1" indent="1"/>
    </xf>
    <xf numFmtId="164" fontId="12" fillId="2" borderId="6" xfId="5" applyNumberFormat="1" applyFont="1" applyFill="1" applyBorder="1" applyAlignment="1">
      <alignment horizontal="center" vertical="center" wrapText="1"/>
    </xf>
    <xf numFmtId="2" fontId="11" fillId="0" borderId="5" xfId="57" applyNumberFormat="1" applyFont="1" applyBorder="1" applyAlignment="1">
      <alignment horizontal="left" vertical="center" wrapText="1" indent="1"/>
    </xf>
    <xf numFmtId="3" fontId="11" fillId="0" borderId="5" xfId="57" applyNumberFormat="1" applyFont="1" applyBorder="1" applyAlignment="1">
      <alignment horizontal="left" vertical="center" wrapText="1" indent="1"/>
    </xf>
    <xf numFmtId="9" fontId="12" fillId="2" borderId="6" xfId="5" applyFont="1" applyFill="1" applyBorder="1" applyAlignment="1">
      <alignment horizontal="center" vertical="center" wrapText="1"/>
    </xf>
    <xf numFmtId="164" fontId="16" fillId="0" borderId="5" xfId="5" applyNumberFormat="1" applyFont="1" applyBorder="1" applyAlignment="1">
      <alignment horizontal="left" vertical="center" wrapText="1" indent="1"/>
    </xf>
    <xf numFmtId="164" fontId="16" fillId="0" borderId="6" xfId="5" applyNumberFormat="1" applyFont="1" applyBorder="1" applyAlignment="1">
      <alignment horizontal="center" vertical="center" wrapText="1"/>
    </xf>
    <xf numFmtId="164" fontId="11" fillId="0" borderId="6" xfId="5" applyNumberFormat="1" applyFont="1" applyBorder="1" applyAlignment="1">
      <alignment horizontal="center" vertical="center" wrapText="1"/>
    </xf>
    <xf numFmtId="3" fontId="11" fillId="0" borderId="5" xfId="57" applyNumberFormat="1" applyFont="1" applyBorder="1" applyAlignment="1">
      <alignment horizontal="left" vertical="center" wrapText="1" indent="2"/>
    </xf>
    <xf numFmtId="164" fontId="12" fillId="0" borderId="6" xfId="5" applyNumberFormat="1" applyFont="1" applyFill="1" applyBorder="1" applyAlignment="1">
      <alignment horizontal="center" vertical="center" wrapText="1"/>
    </xf>
    <xf numFmtId="164" fontId="47" fillId="0" borderId="0" xfId="3" applyNumberFormat="1" applyFont="1" applyFill="1" applyAlignment="1">
      <alignment horizontal="left"/>
    </xf>
    <xf numFmtId="164" fontId="16" fillId="0" borderId="0" xfId="5" applyNumberFormat="1" applyFont="1" applyAlignment="1">
      <alignment horizontal="left"/>
    </xf>
    <xf numFmtId="164" fontId="16" fillId="0" borderId="0" xfId="5" applyNumberFormat="1" applyFont="1"/>
    <xf numFmtId="164" fontId="9" fillId="21" borderId="0" xfId="3" applyNumberFormat="1" applyFont="1" applyFill="1"/>
  </cellXfs>
  <cellStyles count="65">
    <cellStyle name="Accent1 - 20%" xfId="37" xr:uid="{0F648688-696F-4B73-8E1F-262381C05888}"/>
    <cellStyle name="Accent1 - 40%" xfId="38" xr:uid="{FE39618A-0CEE-4D9F-9439-86D979CD702D}"/>
    <cellStyle name="Accent1 - 60%" xfId="39" xr:uid="{704CDA1E-DAC5-42A2-B01B-1614E3979189}"/>
    <cellStyle name="Accent2 - 20%" xfId="40" xr:uid="{C995273C-7FD9-4020-B3DE-33C822737C62}"/>
    <cellStyle name="Accent2 - 40%" xfId="41" xr:uid="{6059F201-87F1-4180-8ADC-0D99A5B91362}"/>
    <cellStyle name="Accent2 - 60%" xfId="42" xr:uid="{3A383991-18DF-4369-A316-E6C37C68D698}"/>
    <cellStyle name="Accent3 - 20%" xfId="43" xr:uid="{ABB97796-0C9E-4F10-A05D-4C4F8F52ABF5}"/>
    <cellStyle name="Accent3 - 40%" xfId="44" xr:uid="{32F9ED8B-A7FE-4E5D-8FE8-C7197298510B}"/>
    <cellStyle name="Accent3 - 60%" xfId="45" xr:uid="{A9FA4494-CAC2-4631-8E18-16812AA27116}"/>
    <cellStyle name="Accent4 - 20%" xfId="46" xr:uid="{1808D36B-8489-4A9A-B498-BA2B64C5E3DD}"/>
    <cellStyle name="Accent4 - 40%" xfId="47" xr:uid="{B7E68F56-89CB-41DA-AFBD-0536F705AF61}"/>
    <cellStyle name="Accent4 - 60%" xfId="48" xr:uid="{2BCCB6D4-DA30-4648-82B5-0D81CF3E2C84}"/>
    <cellStyle name="Accent5 - 20%" xfId="49" xr:uid="{7818D684-168B-4E62-B174-B38FD769F28F}"/>
    <cellStyle name="Accent5 - 40%" xfId="50" xr:uid="{803E89B7-B30D-40CB-AF04-4BF79B071F4C}"/>
    <cellStyle name="Accent5 - 60%" xfId="51" xr:uid="{1237DC6C-6822-4EEA-9601-C241535F5FD3}"/>
    <cellStyle name="Accent6 - 20%" xfId="52" xr:uid="{778B979D-72BC-4A28-8222-EE753B80309D}"/>
    <cellStyle name="Accent6 - 40%" xfId="53" xr:uid="{7F04E20A-B27A-4348-A7FA-3197FBC6BF7C}"/>
    <cellStyle name="Accent6 - 60%" xfId="54" xr:uid="{17F19CE5-07F2-40FC-9889-20FB7CA1F6F3}"/>
    <cellStyle name="ChartingText" xfId="7" xr:uid="{A33BF5C9-30E9-4F4C-A5DA-449EFE551E5B}"/>
    <cellStyle name="CHPAboveAverage" xfId="30" xr:uid="{B9FDA267-C11C-427C-89A5-41F19D0ADAA9}"/>
    <cellStyle name="CHPBelowAverage" xfId="31" xr:uid="{3FD32E80-6E56-4672-940A-95049475C742}"/>
    <cellStyle name="CHPBottom" xfId="32" xr:uid="{E8322F04-C50E-4B31-A323-985EC0F9A6DB}"/>
    <cellStyle name="CHPTop" xfId="33" xr:uid="{5E543C57-127C-4CC0-8D17-6F1468F7B3A1}"/>
    <cellStyle name="ColumnHeaderNormal" xfId="8" xr:uid="{5ABADCCF-0A18-45D4-B18A-C305088A3EE5}"/>
    <cellStyle name="Comma 2" xfId="26" xr:uid="{FAF16DB5-52C4-4208-89EF-782110AAB419}"/>
    <cellStyle name="Comma 3" xfId="29" xr:uid="{3BB373B3-77A3-4CC6-80D5-F04546A728B4}"/>
    <cellStyle name="Comma 4" xfId="61" xr:uid="{7097EEAD-7A47-4E86-8C9E-A15E2310C606}"/>
    <cellStyle name="Comma 5" xfId="56" xr:uid="{CE8D4914-DD7B-40D8-B96F-1EEAF7CB143B}"/>
    <cellStyle name="Invisible" xfId="9" xr:uid="{D0F7815F-F2F4-41BB-85EE-7B2B25C65A0A}"/>
    <cellStyle name="Invisible 2" xfId="34" xr:uid="{33EFDE01-1518-4553-89C3-95B155074F9C}"/>
    <cellStyle name="NewColumnHeaderNormal" xfId="10" xr:uid="{7A932DAB-BADE-4927-A675-48028B17A120}"/>
    <cellStyle name="NewSectionHeaderNormal" xfId="11" xr:uid="{D9EE55D1-AE34-49A8-9DE2-437CA0C80A89}"/>
    <cellStyle name="NewTitleNormal" xfId="12" xr:uid="{905911A2-10AA-4706-8D6F-F1AA7C0CCC49}"/>
    <cellStyle name="Normal" xfId="0" builtinId="0"/>
    <cellStyle name="Normal 2" xfId="1" xr:uid="{9894E839-5867-4A18-9AEB-E48CD512F40A}"/>
    <cellStyle name="Normal 2 2" xfId="21" xr:uid="{DED41F00-D54A-4768-8C6A-34CED25DF222}"/>
    <cellStyle name="Normal 3" xfId="24" xr:uid="{EC57AD82-F2AA-4535-9C05-B930730215AA}"/>
    <cellStyle name="Normal 3 2" xfId="64" xr:uid="{BC5A86D3-E7A5-493E-889B-E4B44497E9C8}"/>
    <cellStyle name="Normal 4" xfId="27" xr:uid="{73561E8D-F682-4D3F-BCB7-F279145F2D20}"/>
    <cellStyle name="Normal 4 2" xfId="57" xr:uid="{DAF0DDEF-811F-4525-B7A8-0E9315E76AC3}"/>
    <cellStyle name="Normal 5" xfId="35" xr:uid="{A6ECB37A-D8DA-4C08-B817-206CE78D8772}"/>
    <cellStyle name="Normal 6" xfId="59" xr:uid="{051AD457-191E-453D-B09F-9D4401854A05}"/>
    <cellStyle name="Normal 7" xfId="2" xr:uid="{93F113EC-62B6-491D-9729-04902E5C4799}"/>
    <cellStyle name="Normal 8" xfId="62" xr:uid="{B30EC0D4-2275-430B-9447-AF72BFA981B7}"/>
    <cellStyle name="Normal 9" xfId="6" xr:uid="{27039657-7ED0-4D0F-93CE-7AA6F7B567F6}"/>
    <cellStyle name="Percent" xfId="5" builtinId="5"/>
    <cellStyle name="Percent 2" xfId="3" xr:uid="{1543A309-2886-4096-BB3E-E71F2E98DBD2}"/>
    <cellStyle name="Percent 2 2" xfId="22" xr:uid="{AB6FFE4D-D073-487C-BB1D-E99F68D86E33}"/>
    <cellStyle name="Percent 3" xfId="25" xr:uid="{57F79463-C335-4000-89DA-64EB7ADAD0C9}"/>
    <cellStyle name="Percent 3 2" xfId="63" xr:uid="{69D8701C-275A-4C0C-ACD3-1382993DE274}"/>
    <cellStyle name="Percent 4" xfId="28" xr:uid="{79C455AB-ADC9-4AC7-8DC5-F953279BED97}"/>
    <cellStyle name="Percent 4 2" xfId="58" xr:uid="{66B390F6-F38E-41B3-BEB1-49C4F1D12D45}"/>
    <cellStyle name="Percent 5" xfId="36" xr:uid="{1B39EA88-A424-4C09-B756-3625BF2B02BC}"/>
    <cellStyle name="Percent 6" xfId="60" xr:uid="{367703CB-3027-486B-8352-C29CB58F678B}"/>
    <cellStyle name="Percent 7" xfId="4" xr:uid="{1A44F424-DD8D-4AD0-ADCB-F873FF8D181D}"/>
    <cellStyle name="Percent 8" xfId="13" xr:uid="{3D4269AA-4C55-455D-8A84-5075317ADB4F}"/>
    <cellStyle name="SectionHeaderNormal" xfId="14" xr:uid="{9D3F57BE-C3B2-434A-8ADC-3EDB8824CAAF}"/>
    <cellStyle name="Sheet Title" xfId="55" xr:uid="{0EFAC2C2-1A3E-4246-97B8-1979FD787196}"/>
    <cellStyle name="SubScript" xfId="15" xr:uid="{73A330DF-7FAF-41CA-9AA2-301564017B85}"/>
    <cellStyle name="SuperScript" xfId="16" xr:uid="{30A94C12-BAA1-48C1-B77D-F49E7B5989B9}"/>
    <cellStyle name="TextBold" xfId="17" xr:uid="{9AA698F6-C70E-4D54-8D6D-6BD5E024A832}"/>
    <cellStyle name="TextItalic" xfId="18" xr:uid="{48EEB08A-E70C-4F85-9DE1-F6CDAB359CAB}"/>
    <cellStyle name="TextNormal" xfId="19" xr:uid="{9DA24EA3-C4B3-40B9-82BC-0AA646C7533A}"/>
    <cellStyle name="TitleNormal" xfId="20" xr:uid="{83578120-E8C0-41FA-B8E9-9A1CC22C42BE}"/>
    <cellStyle name="一般_4Q03 Financial Statement-audit_IR" xfId="23" xr:uid="{98430C1A-9012-4948-9D53-7E82C409468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f\groups\backup\Stella%201836%20HK\Stella%202011.01.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D"/>
      <sheetName val="Annual Model"/>
      <sheetName val="Quarterly"/>
      <sheetName val="Semi-Annual"/>
      <sheetName val="Retail Economics"/>
      <sheetName val="Related Party"/>
      <sheetName val="Prelim"/>
      <sheetName val="Yue Yuen"/>
      <sheetName val="Pou Sheng"/>
      <sheetName val="Le Saunda"/>
      <sheetName val="Daphne"/>
      <sheetName val="Kingmaker"/>
    </sheetNames>
    <sheetDataSet>
      <sheetData sheetId="0" refreshError="1"/>
      <sheetData sheetId="1">
        <row r="100">
          <cell r="B100">
            <v>7.75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CF24-6176-4B50-A226-FC4883ABE164}">
  <dimension ref="A1:Q72"/>
  <sheetViews>
    <sheetView tabSelected="1" zoomScaleNormal="100" zoomScaleSheetLayoutView="100" zoomScalePageLayoutView="115" workbookViewId="0">
      <selection activeCell="K13" sqref="K13"/>
    </sheetView>
  </sheetViews>
  <sheetFormatPr defaultColWidth="8.7109375" defaultRowHeight="15" x14ac:dyDescent="0.25"/>
  <cols>
    <col min="1" max="1" width="43" style="185" customWidth="1"/>
    <col min="2" max="4" width="16.42578125" style="170" customWidth="1"/>
    <col min="5" max="5" width="9.28515625" style="178" customWidth="1"/>
    <col min="6" max="6" width="64.28515625" style="185" customWidth="1"/>
    <col min="7" max="7" width="8.7109375" style="171"/>
    <col min="8" max="8" width="24.85546875" style="175" customWidth="1"/>
    <col min="9" max="9" width="15" style="166" customWidth="1"/>
    <col min="10" max="17" width="8.7109375" style="175"/>
    <col min="18" max="16384" width="8.7109375" style="171"/>
  </cols>
  <sheetData>
    <row r="1" spans="1:17" s="162" customFormat="1" x14ac:dyDescent="0.25">
      <c r="A1" s="158"/>
      <c r="B1" s="159" t="s">
        <v>186</v>
      </c>
      <c r="C1" s="160" t="s">
        <v>187</v>
      </c>
      <c r="D1" s="159" t="s">
        <v>188</v>
      </c>
      <c r="E1" s="161"/>
      <c r="F1" s="231" t="s">
        <v>193</v>
      </c>
      <c r="H1" s="173"/>
      <c r="I1" s="208"/>
      <c r="J1" s="173"/>
      <c r="K1" s="173"/>
      <c r="L1" s="173"/>
      <c r="M1" s="173"/>
      <c r="N1" s="173"/>
      <c r="O1" s="173"/>
      <c r="P1" s="173"/>
      <c r="Q1" s="173"/>
    </row>
    <row r="2" spans="1:17" x14ac:dyDescent="0.25">
      <c r="A2" s="299" t="s">
        <v>229</v>
      </c>
      <c r="B2" s="176"/>
      <c r="C2" s="177"/>
      <c r="D2" s="172"/>
      <c r="E2" s="175"/>
      <c r="J2" s="166"/>
    </row>
    <row r="3" spans="1:17" s="168" customFormat="1" x14ac:dyDescent="0.25">
      <c r="A3" s="199" t="s">
        <v>269</v>
      </c>
      <c r="B3" s="193">
        <f>C3</f>
        <v>2345254.961538462</v>
      </c>
      <c r="C3" s="237">
        <f>SUM('DADA-Financials'!AG168:AJ168)*1.05</f>
        <v>2345254.961538462</v>
      </c>
      <c r="D3" s="194">
        <f>C3</f>
        <v>2345254.961538462</v>
      </c>
      <c r="E3" s="206"/>
      <c r="F3" s="206" t="s">
        <v>314</v>
      </c>
      <c r="H3" s="166"/>
      <c r="I3" s="166"/>
      <c r="J3" s="166"/>
      <c r="K3" s="166"/>
      <c r="L3" s="166"/>
      <c r="M3" s="166"/>
      <c r="N3" s="166"/>
      <c r="O3" s="166"/>
      <c r="P3" s="166"/>
      <c r="Q3" s="166"/>
    </row>
    <row r="4" spans="1:17" s="168" customFormat="1" x14ac:dyDescent="0.25">
      <c r="A4" s="323" t="s">
        <v>317</v>
      </c>
      <c r="B4" s="324">
        <v>0.1</v>
      </c>
      <c r="C4" s="324">
        <v>0.08</v>
      </c>
      <c r="D4" s="324">
        <v>0.06</v>
      </c>
      <c r="E4" s="195"/>
      <c r="F4" s="206" t="s">
        <v>309</v>
      </c>
      <c r="H4" s="166"/>
      <c r="I4" s="166"/>
      <c r="J4" s="175"/>
      <c r="K4" s="166"/>
      <c r="L4" s="166"/>
      <c r="M4" s="166"/>
      <c r="N4" s="166"/>
      <c r="O4" s="166"/>
      <c r="P4" s="166"/>
      <c r="Q4" s="166"/>
    </row>
    <row r="5" spans="1:17" x14ac:dyDescent="0.25">
      <c r="A5" s="199" t="s">
        <v>247</v>
      </c>
      <c r="B5" s="193">
        <f>B4*B3</f>
        <v>234525.49615384621</v>
      </c>
      <c r="C5" s="193">
        <f t="shared" ref="C5:D5" si="0">C4*C3</f>
        <v>187620.39692307697</v>
      </c>
      <c r="D5" s="193">
        <f t="shared" si="0"/>
        <v>140715.29769230771</v>
      </c>
      <c r="E5" s="195"/>
      <c r="F5" s="238"/>
    </row>
    <row r="6" spans="1:17" x14ac:dyDescent="0.25">
      <c r="A6" s="199"/>
      <c r="B6" s="172"/>
      <c r="C6" s="172"/>
      <c r="D6" s="172"/>
      <c r="E6" s="195"/>
      <c r="H6" s="171"/>
      <c r="I6" s="171"/>
    </row>
    <row r="7" spans="1:17" s="168" customFormat="1" x14ac:dyDescent="0.25">
      <c r="A7" s="322" t="s">
        <v>245</v>
      </c>
      <c r="B7" s="321">
        <v>0.09</v>
      </c>
      <c r="C7" s="321">
        <v>0.08</v>
      </c>
      <c r="D7" s="321">
        <v>7.0000000000000007E-2</v>
      </c>
      <c r="E7" s="196"/>
      <c r="F7" s="207" t="s">
        <v>260</v>
      </c>
      <c r="J7" s="166"/>
      <c r="K7" s="166"/>
      <c r="L7" s="166"/>
      <c r="M7" s="166"/>
      <c r="N7" s="166"/>
      <c r="O7" s="166"/>
      <c r="P7" s="166"/>
      <c r="Q7" s="166"/>
    </row>
    <row r="8" spans="1:17" s="168" customFormat="1" x14ac:dyDescent="0.25">
      <c r="A8" s="203"/>
      <c r="B8" s="204"/>
      <c r="C8" s="204"/>
      <c r="D8" s="204"/>
      <c r="E8" s="196"/>
      <c r="F8" s="196"/>
      <c r="J8" s="175"/>
      <c r="K8" s="166"/>
      <c r="L8" s="166"/>
      <c r="M8" s="166"/>
      <c r="N8" s="166"/>
      <c r="O8" s="166"/>
      <c r="P8" s="166"/>
      <c r="Q8" s="166"/>
    </row>
    <row r="9" spans="1:17" x14ac:dyDescent="0.25">
      <c r="A9" s="199" t="s">
        <v>261</v>
      </c>
      <c r="B9" s="172">
        <f>B7*B5</f>
        <v>21107.294653846158</v>
      </c>
      <c r="C9" s="172">
        <f>C7*C5</f>
        <v>15009.631753846159</v>
      </c>
      <c r="D9" s="172">
        <f>D7*D5</f>
        <v>9850.0708384615409</v>
      </c>
      <c r="E9" s="195"/>
      <c r="F9" s="195" t="s">
        <v>307</v>
      </c>
      <c r="H9" s="171"/>
      <c r="I9" s="171"/>
    </row>
    <row r="10" spans="1:17" s="222" customFormat="1" x14ac:dyDescent="0.25">
      <c r="A10" s="219"/>
      <c r="B10" s="220"/>
      <c r="C10" s="220"/>
      <c r="D10" s="220"/>
      <c r="E10" s="221"/>
      <c r="F10" s="221"/>
      <c r="H10" s="221"/>
      <c r="I10" s="221"/>
      <c r="J10" s="221"/>
      <c r="K10" s="221"/>
      <c r="L10" s="221"/>
      <c r="M10" s="221"/>
      <c r="N10" s="221"/>
      <c r="O10" s="221"/>
      <c r="P10" s="221"/>
      <c r="Q10" s="221"/>
    </row>
    <row r="11" spans="1:17" x14ac:dyDescent="0.25">
      <c r="A11" s="199" t="s">
        <v>249</v>
      </c>
      <c r="B11" s="193">
        <f>B12*B5</f>
        <v>-4690.5099230769247</v>
      </c>
      <c r="C11" s="193">
        <f t="shared" ref="C11:D11" si="1">C12*C5</f>
        <v>-3940.0283353846166</v>
      </c>
      <c r="D11" s="193">
        <f t="shared" si="1"/>
        <v>-3095.7365492307695</v>
      </c>
      <c r="E11" s="195"/>
      <c r="F11" s="195"/>
    </row>
    <row r="12" spans="1:17" s="212" customFormat="1" x14ac:dyDescent="0.25">
      <c r="A12" s="320" t="s">
        <v>251</v>
      </c>
      <c r="B12" s="321">
        <v>-0.02</v>
      </c>
      <c r="C12" s="321">
        <v>-2.1000000000000001E-2</v>
      </c>
      <c r="D12" s="321">
        <v>-2.1999999999999999E-2</v>
      </c>
      <c r="E12" s="223"/>
      <c r="F12" s="223"/>
      <c r="J12" s="211"/>
      <c r="K12" s="211"/>
      <c r="L12" s="211"/>
      <c r="M12" s="211"/>
      <c r="N12" s="211"/>
      <c r="O12" s="211"/>
      <c r="P12" s="211"/>
      <c r="Q12" s="211"/>
    </row>
    <row r="13" spans="1:17" x14ac:dyDescent="0.25">
      <c r="A13" s="199" t="s">
        <v>250</v>
      </c>
      <c r="B13" s="193">
        <f>B14*B5</f>
        <v>-5863.1374038461554</v>
      </c>
      <c r="C13" s="193">
        <f t="shared" ref="C13:D13" si="2">C14*C5</f>
        <v>-5065.7507169230785</v>
      </c>
      <c r="D13" s="193">
        <f t="shared" si="2"/>
        <v>-4221.4589307692313</v>
      </c>
      <c r="E13" s="206"/>
      <c r="F13" s="206"/>
    </row>
    <row r="14" spans="1:17" s="212" customFormat="1" x14ac:dyDescent="0.25">
      <c r="A14" s="320" t="s">
        <v>252</v>
      </c>
      <c r="B14" s="321">
        <v>-2.5000000000000001E-2</v>
      </c>
      <c r="C14" s="321">
        <v>-2.7E-2</v>
      </c>
      <c r="D14" s="321">
        <v>-0.03</v>
      </c>
      <c r="E14" s="206"/>
      <c r="F14" s="206"/>
      <c r="H14" s="211"/>
      <c r="I14" s="211"/>
      <c r="J14" s="211"/>
      <c r="K14" s="211"/>
      <c r="L14" s="211"/>
      <c r="M14" s="211"/>
      <c r="N14" s="211"/>
      <c r="O14" s="211"/>
      <c r="P14" s="211"/>
      <c r="Q14" s="211"/>
    </row>
    <row r="15" spans="1:17" x14ac:dyDescent="0.25">
      <c r="A15" s="169" t="s">
        <v>246</v>
      </c>
      <c r="B15" s="172">
        <f>+B13+B11+B9</f>
        <v>10553.647326923077</v>
      </c>
      <c r="C15" s="172">
        <f>+C13+C11+C9</f>
        <v>6003.8527015384643</v>
      </c>
      <c r="D15" s="172">
        <f>+D13+D11+D9</f>
        <v>2532.8753584615406</v>
      </c>
      <c r="E15" s="195"/>
      <c r="F15" s="195"/>
    </row>
    <row r="16" spans="1:17" s="217" customFormat="1" x14ac:dyDescent="0.25">
      <c r="A16" s="320" t="s">
        <v>248</v>
      </c>
      <c r="B16" s="327">
        <f>B15/B$9</f>
        <v>0.49999999999999989</v>
      </c>
      <c r="C16" s="327">
        <f>C15/C$9</f>
        <v>0.4</v>
      </c>
      <c r="D16" s="327">
        <f>D15/D$9</f>
        <v>0.25714285714285728</v>
      </c>
      <c r="E16" s="216"/>
      <c r="F16" s="216"/>
      <c r="H16" s="216"/>
      <c r="I16" s="216"/>
      <c r="J16" s="216"/>
      <c r="K16" s="216"/>
      <c r="L16" s="216"/>
      <c r="M16" s="216"/>
      <c r="N16" s="216"/>
      <c r="O16" s="216"/>
      <c r="P16" s="216"/>
      <c r="Q16" s="216"/>
    </row>
    <row r="17" spans="1:17" s="217" customFormat="1" x14ac:dyDescent="0.25">
      <c r="A17" s="210"/>
      <c r="B17" s="215"/>
      <c r="C17" s="215"/>
      <c r="D17" s="215"/>
      <c r="E17" s="216"/>
      <c r="F17" s="216"/>
      <c r="H17" s="216"/>
      <c r="I17" s="216"/>
      <c r="J17" s="216"/>
      <c r="K17" s="216"/>
      <c r="L17" s="216"/>
      <c r="M17" s="216"/>
      <c r="N17" s="216"/>
      <c r="O17" s="216"/>
      <c r="P17" s="216"/>
      <c r="Q17" s="216"/>
    </row>
    <row r="18" spans="1:17" s="217" customFormat="1" x14ac:dyDescent="0.25">
      <c r="A18" s="325" t="s">
        <v>300</v>
      </c>
      <c r="B18" s="326">
        <f>B7+B12+B14</f>
        <v>4.4999999999999991E-2</v>
      </c>
      <c r="C18" s="326">
        <f t="shared" ref="C18:D18" si="3">C7+C12+C14</f>
        <v>3.2000000000000001E-2</v>
      </c>
      <c r="D18" s="326">
        <f t="shared" si="3"/>
        <v>1.8000000000000009E-2</v>
      </c>
      <c r="E18" s="216"/>
      <c r="F18" s="216" t="s">
        <v>303</v>
      </c>
      <c r="H18" s="216"/>
      <c r="I18" s="216"/>
      <c r="J18" s="216"/>
      <c r="K18" s="216"/>
      <c r="L18" s="216"/>
      <c r="M18" s="216"/>
      <c r="N18" s="216"/>
      <c r="O18" s="216"/>
      <c r="P18" s="216"/>
      <c r="Q18" s="216"/>
    </row>
    <row r="19" spans="1:17" s="217" customFormat="1" x14ac:dyDescent="0.25">
      <c r="A19" s="325" t="s">
        <v>304</v>
      </c>
      <c r="B19" s="326">
        <f>+B18+B22</f>
        <v>3.4999999999999989E-2</v>
      </c>
      <c r="C19" s="326">
        <f t="shared" ref="C19:D19" si="4">+C18+C22</f>
        <v>2.1999999999999999E-2</v>
      </c>
      <c r="D19" s="326">
        <f t="shared" si="4"/>
        <v>8.0000000000000088E-3</v>
      </c>
      <c r="E19" s="216"/>
      <c r="F19" s="216" t="s">
        <v>303</v>
      </c>
      <c r="H19" s="216"/>
      <c r="I19" s="216"/>
      <c r="J19" s="216"/>
      <c r="K19" s="216"/>
      <c r="L19" s="216"/>
      <c r="M19" s="216"/>
      <c r="N19" s="216"/>
      <c r="O19" s="216"/>
      <c r="P19" s="216"/>
      <c r="Q19" s="216"/>
    </row>
    <row r="20" spans="1:17" s="225" customFormat="1" x14ac:dyDescent="0.25">
      <c r="A20" s="328"/>
      <c r="B20" s="329"/>
      <c r="C20" s="329"/>
      <c r="D20" s="329"/>
      <c r="E20" s="224"/>
      <c r="F20" s="206"/>
      <c r="H20" s="226"/>
      <c r="I20" s="227"/>
      <c r="J20" s="226"/>
      <c r="K20" s="226"/>
      <c r="L20" s="226"/>
      <c r="M20" s="226"/>
      <c r="N20" s="226"/>
      <c r="O20" s="226"/>
      <c r="P20" s="226"/>
      <c r="Q20" s="226"/>
    </row>
    <row r="21" spans="1:17" x14ac:dyDescent="0.25">
      <c r="A21" s="199" t="s">
        <v>45</v>
      </c>
      <c r="B21" s="193">
        <f>B22*B5</f>
        <v>-2345.2549615384623</v>
      </c>
      <c r="C21" s="193">
        <f t="shared" ref="C21:D21" si="5">C22*C5</f>
        <v>-1876.2039692307699</v>
      </c>
      <c r="D21" s="193">
        <f t="shared" si="5"/>
        <v>-1407.1529769230772</v>
      </c>
      <c r="E21" s="195"/>
    </row>
    <row r="22" spans="1:17" s="225" customFormat="1" x14ac:dyDescent="0.25">
      <c r="A22" s="323" t="s">
        <v>254</v>
      </c>
      <c r="B22" s="321">
        <v>-0.01</v>
      </c>
      <c r="C22" s="321">
        <v>-0.01</v>
      </c>
      <c r="D22" s="321">
        <v>-0.01</v>
      </c>
      <c r="E22" s="224"/>
      <c r="F22" s="206" t="s">
        <v>315</v>
      </c>
      <c r="H22" s="226"/>
      <c r="I22" s="227"/>
      <c r="J22" s="226"/>
      <c r="K22" s="226"/>
      <c r="L22" s="226"/>
      <c r="M22" s="226"/>
      <c r="N22" s="226"/>
      <c r="O22" s="226"/>
      <c r="P22" s="226"/>
      <c r="Q22" s="226"/>
    </row>
    <row r="23" spans="1:17" x14ac:dyDescent="0.25">
      <c r="A23" s="199" t="s">
        <v>306</v>
      </c>
      <c r="B23" s="200">
        <v>-450</v>
      </c>
      <c r="C23" s="200">
        <v>-400</v>
      </c>
      <c r="D23" s="200">
        <v>-350</v>
      </c>
      <c r="E23" s="206"/>
      <c r="F23" s="236" t="s">
        <v>319</v>
      </c>
      <c r="H23" s="285" t="s">
        <v>285</v>
      </c>
      <c r="I23" s="291" t="s">
        <v>233</v>
      </c>
    </row>
    <row r="24" spans="1:17" x14ac:dyDescent="0.25">
      <c r="A24" s="214" t="s">
        <v>226</v>
      </c>
      <c r="B24" s="164">
        <f>+B23+B15+B21</f>
        <v>7758.392365384615</v>
      </c>
      <c r="C24" s="164">
        <f>+C23+C15+C21</f>
        <v>3727.6487323076944</v>
      </c>
      <c r="D24" s="164">
        <f>+D23+D15+D21</f>
        <v>775.72238153846342</v>
      </c>
      <c r="E24" s="195"/>
      <c r="F24" s="232"/>
      <c r="H24" s="289" t="s">
        <v>238</v>
      </c>
      <c r="I24" s="294">
        <v>17.100000000000001</v>
      </c>
    </row>
    <row r="25" spans="1:17" s="217" customFormat="1" x14ac:dyDescent="0.25">
      <c r="A25" s="320" t="s">
        <v>262</v>
      </c>
      <c r="B25" s="327">
        <f>B24/B$9</f>
        <v>0.36756924525952384</v>
      </c>
      <c r="C25" s="327">
        <f>C24/C$9</f>
        <v>0.24835044546329388</v>
      </c>
      <c r="D25" s="327">
        <f>D24/D$9</f>
        <v>7.8752974903439549E-2</v>
      </c>
      <c r="E25" s="216"/>
      <c r="F25" s="216"/>
      <c r="H25" s="286" t="s">
        <v>236</v>
      </c>
      <c r="I25" s="295">
        <v>9.4</v>
      </c>
      <c r="J25" s="216"/>
      <c r="K25" s="216"/>
      <c r="L25" s="216"/>
      <c r="M25" s="216"/>
      <c r="N25" s="216"/>
      <c r="O25" s="216"/>
      <c r="P25" s="216"/>
      <c r="Q25" s="216"/>
    </row>
    <row r="26" spans="1:17" x14ac:dyDescent="0.25">
      <c r="A26" s="199"/>
      <c r="B26" s="172"/>
      <c r="C26" s="172"/>
      <c r="D26" s="172"/>
      <c r="E26" s="195"/>
      <c r="F26" s="232"/>
      <c r="H26" s="287" t="s">
        <v>239</v>
      </c>
      <c r="I26" s="295">
        <v>11.3</v>
      </c>
    </row>
    <row r="27" spans="1:17" s="168" customFormat="1" x14ac:dyDescent="0.25">
      <c r="A27" s="199" t="s">
        <v>231</v>
      </c>
      <c r="B27" s="200">
        <v>14</v>
      </c>
      <c r="C27" s="200">
        <v>12</v>
      </c>
      <c r="D27" s="200">
        <v>10</v>
      </c>
      <c r="E27" s="166"/>
      <c r="F27" s="236" t="s">
        <v>259</v>
      </c>
      <c r="H27" s="290"/>
      <c r="I27" s="292"/>
      <c r="J27" s="175"/>
      <c r="K27" s="166"/>
      <c r="L27" s="166"/>
      <c r="M27" s="166"/>
      <c r="N27" s="166"/>
      <c r="O27" s="166"/>
      <c r="P27" s="166"/>
      <c r="Q27" s="166"/>
    </row>
    <row r="28" spans="1:17" s="168" customFormat="1" x14ac:dyDescent="0.25">
      <c r="A28" s="199"/>
      <c r="B28" s="176"/>
      <c r="C28" s="176"/>
      <c r="D28" s="176"/>
      <c r="E28" s="166"/>
      <c r="F28" s="166"/>
      <c r="H28" s="288" t="s">
        <v>258</v>
      </c>
      <c r="I28" s="293">
        <f>AVERAGE(I24:I26)</f>
        <v>12.6</v>
      </c>
      <c r="J28" s="175"/>
      <c r="K28" s="166"/>
      <c r="L28" s="166"/>
      <c r="M28" s="166"/>
      <c r="N28" s="166"/>
      <c r="O28" s="166"/>
      <c r="P28" s="166"/>
      <c r="Q28" s="166"/>
    </row>
    <row r="29" spans="1:17" s="162" customFormat="1" x14ac:dyDescent="0.25">
      <c r="A29" s="240" t="s">
        <v>228</v>
      </c>
      <c r="B29" s="241">
        <f>B24*B27</f>
        <v>108617.49311538461</v>
      </c>
      <c r="C29" s="241">
        <f t="shared" ref="C29:D29" si="6">C24*C27</f>
        <v>44731.784787692333</v>
      </c>
      <c r="D29" s="241">
        <f t="shared" si="6"/>
        <v>7757.2238153846338</v>
      </c>
      <c r="E29" s="173"/>
      <c r="F29" s="231"/>
      <c r="H29" s="175" t="s">
        <v>313</v>
      </c>
      <c r="J29" s="173"/>
      <c r="K29" s="173"/>
      <c r="L29" s="173"/>
      <c r="M29" s="173"/>
      <c r="N29" s="173"/>
      <c r="O29" s="173"/>
      <c r="P29" s="173"/>
      <c r="Q29" s="173"/>
    </row>
    <row r="30" spans="1:17" x14ac:dyDescent="0.25">
      <c r="A30" s="199"/>
      <c r="B30" s="172"/>
      <c r="C30" s="172"/>
      <c r="D30" s="172"/>
      <c r="E30" s="173"/>
      <c r="F30" s="232"/>
    </row>
    <row r="31" spans="1:17" s="162" customFormat="1" x14ac:dyDescent="0.25">
      <c r="A31" s="242" t="s">
        <v>282</v>
      </c>
      <c r="B31" s="243">
        <f>B29/$B$61/$B$60</f>
        <v>57.245950613684194</v>
      </c>
      <c r="C31" s="243">
        <f>C29/$B$61/$B$60</f>
        <v>23.575516883803733</v>
      </c>
      <c r="D31" s="243">
        <f>D29/$B$61/$B$60</f>
        <v>4.0883805978017511</v>
      </c>
      <c r="E31" s="173"/>
      <c r="F31" s="231"/>
      <c r="J31" s="173"/>
      <c r="K31" s="173"/>
      <c r="L31" s="173"/>
      <c r="M31" s="173"/>
      <c r="N31" s="173"/>
      <c r="O31" s="173"/>
      <c r="P31" s="173"/>
      <c r="Q31" s="173"/>
    </row>
    <row r="32" spans="1:17" x14ac:dyDescent="0.25">
      <c r="A32" s="174"/>
      <c r="B32" s="172"/>
      <c r="C32" s="172"/>
      <c r="D32" s="172"/>
      <c r="E32" s="175"/>
      <c r="F32" s="232"/>
    </row>
    <row r="33" spans="1:17" s="162" customFormat="1" x14ac:dyDescent="0.25">
      <c r="A33" s="298" t="s">
        <v>190</v>
      </c>
      <c r="B33" s="164"/>
      <c r="C33" s="165"/>
      <c r="D33" s="164"/>
      <c r="E33" s="161"/>
      <c r="F33" s="231"/>
      <c r="J33" s="173"/>
      <c r="K33" s="173"/>
      <c r="L33" s="173"/>
      <c r="M33" s="173"/>
      <c r="N33" s="173"/>
      <c r="O33" s="173"/>
      <c r="P33" s="173"/>
      <c r="Q33" s="173"/>
    </row>
    <row r="34" spans="1:17" s="170" customFormat="1" x14ac:dyDescent="0.25">
      <c r="A34" s="199" t="s">
        <v>230</v>
      </c>
      <c r="B34" s="193">
        <f>C34</f>
        <v>2526.1</v>
      </c>
      <c r="C34" s="194">
        <f>SUM('DADA-Financials'!AG210:AJ210)</f>
        <v>2526.1</v>
      </c>
      <c r="D34" s="194">
        <f>C34</f>
        <v>2526.1</v>
      </c>
      <c r="F34" s="195" t="s">
        <v>318</v>
      </c>
      <c r="J34" s="195"/>
      <c r="K34" s="195"/>
      <c r="L34" s="195"/>
      <c r="M34" s="195"/>
      <c r="N34" s="195"/>
      <c r="O34" s="195"/>
      <c r="P34" s="195"/>
      <c r="Q34" s="195"/>
    </row>
    <row r="35" spans="1:17" s="170" customFormat="1" x14ac:dyDescent="0.25">
      <c r="A35" s="323" t="s">
        <v>227</v>
      </c>
      <c r="B35" s="324">
        <v>0.3</v>
      </c>
      <c r="C35" s="324">
        <v>0.25</v>
      </c>
      <c r="D35" s="324">
        <v>0.2</v>
      </c>
      <c r="E35" s="195"/>
      <c r="F35" s="232"/>
      <c r="J35" s="195"/>
      <c r="K35" s="195"/>
      <c r="L35" s="195"/>
      <c r="M35" s="195"/>
      <c r="N35" s="195"/>
      <c r="O35" s="195"/>
      <c r="P35" s="195"/>
      <c r="Q35" s="195"/>
    </row>
    <row r="36" spans="1:17" s="170" customFormat="1" x14ac:dyDescent="0.25">
      <c r="A36" s="199" t="s">
        <v>232</v>
      </c>
      <c r="B36" s="193">
        <f>B34*(1+B35)</f>
        <v>3283.93</v>
      </c>
      <c r="C36" s="193">
        <f t="shared" ref="C36:D36" si="7">C34*(1+C35)</f>
        <v>3157.625</v>
      </c>
      <c r="D36" s="193">
        <f t="shared" si="7"/>
        <v>3031.3199999999997</v>
      </c>
      <c r="E36" s="195"/>
      <c r="F36" s="236" t="s">
        <v>302</v>
      </c>
      <c r="J36" s="195"/>
      <c r="K36" s="195"/>
      <c r="L36" s="195"/>
      <c r="M36" s="166"/>
      <c r="N36" s="195"/>
      <c r="O36" s="195"/>
      <c r="P36" s="195"/>
      <c r="Q36" s="195"/>
    </row>
    <row r="37" spans="1:17" s="170" customFormat="1" x14ac:dyDescent="0.25">
      <c r="A37" s="169"/>
      <c r="B37" s="193"/>
      <c r="C37" s="194"/>
      <c r="D37" s="194"/>
      <c r="E37" s="195"/>
      <c r="F37" s="232"/>
      <c r="J37" s="195"/>
      <c r="K37" s="195"/>
      <c r="L37" s="195"/>
      <c r="M37" s="195"/>
      <c r="N37" s="195"/>
      <c r="O37" s="195"/>
      <c r="P37" s="195"/>
      <c r="Q37" s="195"/>
    </row>
    <row r="38" spans="1:17" s="197" customFormat="1" x14ac:dyDescent="0.25">
      <c r="A38" s="203" t="s">
        <v>225</v>
      </c>
      <c r="B38" s="198">
        <v>0.35</v>
      </c>
      <c r="C38" s="198">
        <v>0.3</v>
      </c>
      <c r="D38" s="198">
        <v>0.25</v>
      </c>
      <c r="E38" s="196"/>
      <c r="F38" s="233"/>
      <c r="J38" s="196"/>
      <c r="K38" s="196"/>
      <c r="L38" s="196"/>
      <c r="M38" s="196"/>
      <c r="N38" s="196"/>
      <c r="O38" s="196"/>
      <c r="P38" s="196"/>
      <c r="Q38" s="196"/>
    </row>
    <row r="39" spans="1:17" s="197" customFormat="1" x14ac:dyDescent="0.25">
      <c r="A39" s="203"/>
      <c r="B39" s="204"/>
      <c r="C39" s="204"/>
      <c r="D39" s="204"/>
      <c r="E39" s="196"/>
      <c r="F39" s="233"/>
      <c r="H39" s="285" t="s">
        <v>284</v>
      </c>
      <c r="I39" s="291" t="s">
        <v>233</v>
      </c>
      <c r="J39" s="196"/>
      <c r="K39" s="196"/>
      <c r="L39" s="196"/>
      <c r="M39" s="196"/>
      <c r="N39" s="196"/>
      <c r="O39" s="196"/>
      <c r="P39" s="196"/>
      <c r="Q39" s="196"/>
    </row>
    <row r="40" spans="1:17" s="170" customFormat="1" x14ac:dyDescent="0.25">
      <c r="A40" s="169" t="s">
        <v>253</v>
      </c>
      <c r="B40" s="172">
        <f>B38*B36</f>
        <v>1149.3754999999999</v>
      </c>
      <c r="C40" s="172">
        <f t="shared" ref="C40:D40" si="8">C38*C36</f>
        <v>947.28749999999991</v>
      </c>
      <c r="D40" s="172">
        <f t="shared" si="8"/>
        <v>757.82999999999993</v>
      </c>
      <c r="E40" s="195"/>
      <c r="F40" s="232"/>
      <c r="H40" s="296" t="s">
        <v>237</v>
      </c>
      <c r="I40" s="294">
        <v>14</v>
      </c>
      <c r="J40" s="195"/>
      <c r="K40" s="195"/>
      <c r="L40" s="195"/>
      <c r="M40" s="195"/>
      <c r="N40" s="195"/>
      <c r="O40" s="195"/>
      <c r="P40" s="195"/>
      <c r="Q40" s="195"/>
    </row>
    <row r="41" spans="1:17" s="170" customFormat="1" x14ac:dyDescent="0.25">
      <c r="A41" s="199" t="s">
        <v>255</v>
      </c>
      <c r="B41" s="200">
        <v>-410</v>
      </c>
      <c r="C41" s="200">
        <v>-420</v>
      </c>
      <c r="D41" s="200">
        <v>-430</v>
      </c>
      <c r="E41" s="195"/>
      <c r="F41" s="236" t="s">
        <v>320</v>
      </c>
      <c r="H41" s="286" t="s">
        <v>234</v>
      </c>
      <c r="I41" s="295">
        <v>10.3</v>
      </c>
      <c r="J41" s="195"/>
      <c r="K41" s="195"/>
      <c r="L41" s="195"/>
      <c r="M41" s="195"/>
      <c r="N41" s="195"/>
      <c r="O41" s="195"/>
      <c r="P41" s="195"/>
      <c r="Q41" s="195"/>
    </row>
    <row r="42" spans="1:17" s="170" customFormat="1" x14ac:dyDescent="0.25">
      <c r="A42" s="214" t="s">
        <v>226</v>
      </c>
      <c r="B42" s="164">
        <f>+B41+B40</f>
        <v>739.37549999999987</v>
      </c>
      <c r="C42" s="164">
        <f t="shared" ref="C42:D42" si="9">+C41+C40</f>
        <v>527.28749999999991</v>
      </c>
      <c r="D42" s="164">
        <f t="shared" si="9"/>
        <v>327.82999999999993</v>
      </c>
      <c r="E42" s="195"/>
      <c r="F42" s="232"/>
      <c r="H42" s="286" t="s">
        <v>235</v>
      </c>
      <c r="I42" s="295">
        <v>12.1</v>
      </c>
      <c r="J42" s="195"/>
      <c r="K42" s="195"/>
      <c r="L42" s="195"/>
      <c r="M42" s="195"/>
      <c r="N42" s="195"/>
      <c r="O42" s="195"/>
      <c r="P42" s="195"/>
      <c r="Q42" s="195"/>
    </row>
    <row r="43" spans="1:17" s="170" customFormat="1" x14ac:dyDescent="0.25">
      <c r="A43" s="199"/>
      <c r="B43" s="201"/>
      <c r="C43" s="201"/>
      <c r="D43" s="201"/>
      <c r="E43" s="195"/>
      <c r="F43" s="232"/>
      <c r="H43" s="286" t="s">
        <v>240</v>
      </c>
      <c r="I43" s="295">
        <v>9</v>
      </c>
      <c r="J43" s="195"/>
      <c r="K43" s="195"/>
      <c r="L43" s="195"/>
      <c r="M43" s="195"/>
      <c r="N43" s="195"/>
      <c r="O43" s="195"/>
      <c r="P43" s="195"/>
      <c r="Q43" s="195"/>
    </row>
    <row r="44" spans="1:17" x14ac:dyDescent="0.25">
      <c r="A44" s="199" t="s">
        <v>231</v>
      </c>
      <c r="B44" s="200">
        <v>12</v>
      </c>
      <c r="C44" s="200">
        <v>10</v>
      </c>
      <c r="D44" s="200">
        <v>8</v>
      </c>
      <c r="E44" s="166"/>
      <c r="F44" s="236" t="s">
        <v>316</v>
      </c>
      <c r="H44" s="286" t="s">
        <v>312</v>
      </c>
      <c r="I44" s="295">
        <v>16.3</v>
      </c>
    </row>
    <row r="45" spans="1:17" x14ac:dyDescent="0.25">
      <c r="A45" s="199"/>
      <c r="B45" s="176"/>
      <c r="C45" s="176"/>
      <c r="D45" s="176"/>
      <c r="E45" s="166"/>
      <c r="F45" s="232"/>
      <c r="H45" s="297"/>
      <c r="I45" s="292"/>
    </row>
    <row r="46" spans="1:17" x14ac:dyDescent="0.25">
      <c r="A46" s="240" t="s">
        <v>228</v>
      </c>
      <c r="B46" s="241">
        <f>B42*B44</f>
        <v>8872.5059999999976</v>
      </c>
      <c r="C46" s="241">
        <f>C42*C44</f>
        <v>5272.8749999999991</v>
      </c>
      <c r="D46" s="241">
        <f>D42*D44</f>
        <v>2622.6399999999994</v>
      </c>
      <c r="E46" s="173"/>
      <c r="F46" s="232"/>
      <c r="H46" s="288" t="s">
        <v>258</v>
      </c>
      <c r="I46" s="293">
        <f>AVERAGE(I40:I44)</f>
        <v>12.34</v>
      </c>
    </row>
    <row r="47" spans="1:17" x14ac:dyDescent="0.25">
      <c r="A47" s="214"/>
      <c r="B47" s="164"/>
      <c r="C47" s="164"/>
      <c r="D47" s="164"/>
      <c r="E47" s="173"/>
      <c r="F47" s="232"/>
      <c r="H47" s="175" t="s">
        <v>313</v>
      </c>
    </row>
    <row r="48" spans="1:17" x14ac:dyDescent="0.25">
      <c r="A48" s="242" t="s">
        <v>282</v>
      </c>
      <c r="B48" s="243">
        <f>B46/$B$61/$B$60</f>
        <v>4.6761808409263992</v>
      </c>
      <c r="C48" s="243">
        <f>C46/$B$61/$B$60</f>
        <v>2.7790251200280722</v>
      </c>
      <c r="D48" s="243">
        <f>D46/$B$61/$B$60</f>
        <v>1.3822407018543816</v>
      </c>
      <c r="E48" s="175"/>
      <c r="F48" s="232"/>
    </row>
    <row r="49" spans="1:17" x14ac:dyDescent="0.25">
      <c r="A49" s="174"/>
      <c r="B49" s="176"/>
      <c r="C49" s="177"/>
      <c r="D49" s="172"/>
      <c r="E49" s="175"/>
      <c r="F49" s="232"/>
    </row>
    <row r="50" spans="1:17" ht="30" x14ac:dyDescent="0.25">
      <c r="A50" s="283" t="s">
        <v>38</v>
      </c>
      <c r="B50" s="172"/>
      <c r="C50" s="172"/>
      <c r="D50" s="172"/>
      <c r="E50" s="175"/>
      <c r="F50" s="236" t="s">
        <v>308</v>
      </c>
    </row>
    <row r="51" spans="1:17" x14ac:dyDescent="0.25">
      <c r="A51" s="244" t="s">
        <v>256</v>
      </c>
      <c r="B51" s="245">
        <f>3000-500</f>
        <v>2500</v>
      </c>
      <c r="C51" s="245">
        <f>3000-(500+300)</f>
        <v>2200</v>
      </c>
      <c r="D51" s="245">
        <f>3000-(500+300+200)</f>
        <v>2000</v>
      </c>
      <c r="E51" s="175"/>
      <c r="F51" s="239" t="s">
        <v>301</v>
      </c>
    </row>
    <row r="52" spans="1:17" ht="15" customHeight="1" x14ac:dyDescent="0.25">
      <c r="A52" s="174"/>
      <c r="B52" s="172"/>
      <c r="C52" s="172"/>
      <c r="D52" s="172"/>
      <c r="E52" s="175"/>
      <c r="F52" s="239" t="s">
        <v>274</v>
      </c>
    </row>
    <row r="53" spans="1:17" s="218" customFormat="1" x14ac:dyDescent="0.25">
      <c r="A53" s="246" t="s">
        <v>282</v>
      </c>
      <c r="B53" s="243">
        <f>B51/$B$61/$B$60</f>
        <v>1.3176043050651081</v>
      </c>
      <c r="C53" s="243">
        <f>C51/$B$61/$B$60</f>
        <v>1.1594917884572951</v>
      </c>
      <c r="D53" s="243">
        <f>D51/$B$61/$B$60</f>
        <v>1.0540834440520863</v>
      </c>
      <c r="F53" s="239" t="s">
        <v>275</v>
      </c>
      <c r="H53" s="175"/>
      <c r="I53" s="166"/>
      <c r="J53" s="208"/>
      <c r="K53" s="208"/>
      <c r="L53" s="208"/>
      <c r="M53" s="208"/>
      <c r="N53" s="208"/>
      <c r="O53" s="208"/>
      <c r="P53" s="208"/>
      <c r="Q53" s="208"/>
    </row>
    <row r="54" spans="1:17" x14ac:dyDescent="0.25">
      <c r="A54" s="174"/>
      <c r="B54" s="172"/>
      <c r="C54" s="172"/>
      <c r="D54" s="172"/>
      <c r="H54" s="208"/>
      <c r="I54" s="208"/>
    </row>
    <row r="55" spans="1:17" x14ac:dyDescent="0.25">
      <c r="A55" s="163" t="s">
        <v>290</v>
      </c>
      <c r="B55" s="172"/>
      <c r="C55" s="172"/>
      <c r="D55" s="172"/>
    </row>
    <row r="56" spans="1:17" s="162" customFormat="1" x14ac:dyDescent="0.25">
      <c r="A56" s="247" t="s">
        <v>291</v>
      </c>
      <c r="B56" s="284">
        <f>+B53+B31+B48</f>
        <v>63.239735759675703</v>
      </c>
      <c r="C56" s="284">
        <f>+C53+C31+C48</f>
        <v>27.514033792289101</v>
      </c>
      <c r="D56" s="284">
        <f>+D53+D31+D48</f>
        <v>6.5247047437082184</v>
      </c>
      <c r="E56" s="229"/>
      <c r="F56" s="234"/>
      <c r="H56" s="175"/>
      <c r="I56" s="166"/>
      <c r="J56" s="173"/>
      <c r="K56" s="173"/>
      <c r="L56" s="173"/>
      <c r="M56" s="173"/>
      <c r="N56" s="173"/>
      <c r="O56" s="173"/>
      <c r="P56" s="173"/>
      <c r="Q56" s="173"/>
    </row>
    <row r="57" spans="1:17" x14ac:dyDescent="0.25">
      <c r="A57" s="180" t="s">
        <v>283</v>
      </c>
      <c r="B57" s="230">
        <f>B56/$B$59-1</f>
        <v>30.619867879837852</v>
      </c>
      <c r="C57" s="230">
        <f t="shared" ref="C57:D57" si="10">C56/$B$59-1</f>
        <v>12.757016896144551</v>
      </c>
      <c r="D57" s="230">
        <f t="shared" si="10"/>
        <v>2.2623523718541092</v>
      </c>
      <c r="H57" s="173"/>
      <c r="I57" s="208"/>
    </row>
    <row r="58" spans="1:17" x14ac:dyDescent="0.25">
      <c r="A58" s="179"/>
      <c r="D58" s="280"/>
    </row>
    <row r="59" spans="1:17" x14ac:dyDescent="0.25">
      <c r="A59" s="247" t="s">
        <v>257</v>
      </c>
      <c r="B59" s="248">
        <v>2</v>
      </c>
      <c r="D59" s="281"/>
    </row>
    <row r="60" spans="1:17" x14ac:dyDescent="0.25">
      <c r="A60" s="174" t="s">
        <v>263</v>
      </c>
      <c r="B60" s="167">
        <f>'DADA-Financials'!AJ43</f>
        <v>259.91547850000001</v>
      </c>
      <c r="D60" s="281"/>
    </row>
    <row r="61" spans="1:17" x14ac:dyDescent="0.25">
      <c r="A61" s="180" t="s">
        <v>189</v>
      </c>
      <c r="B61" s="202">
        <v>7.3</v>
      </c>
      <c r="C61" s="181"/>
      <c r="D61" s="282"/>
    </row>
    <row r="62" spans="1:17" s="182" customFormat="1" x14ac:dyDescent="0.25">
      <c r="E62" s="183"/>
      <c r="F62" s="235"/>
      <c r="H62" s="175"/>
      <c r="I62" s="166"/>
      <c r="J62" s="205"/>
      <c r="K62" s="205"/>
      <c r="L62" s="205"/>
      <c r="M62" s="205"/>
      <c r="N62" s="205"/>
      <c r="O62" s="205"/>
      <c r="P62" s="205"/>
      <c r="Q62" s="205"/>
    </row>
    <row r="63" spans="1:17" s="182" customFormat="1" x14ac:dyDescent="0.25">
      <c r="A63" s="184"/>
      <c r="E63" s="183"/>
      <c r="F63" s="235"/>
      <c r="H63" s="205"/>
      <c r="I63" s="209"/>
      <c r="J63" s="205"/>
      <c r="K63" s="205"/>
      <c r="L63" s="205"/>
      <c r="M63" s="205"/>
      <c r="N63" s="205"/>
      <c r="O63" s="205"/>
      <c r="P63" s="205"/>
      <c r="Q63" s="205"/>
    </row>
    <row r="64" spans="1:17" s="183" customFormat="1" x14ac:dyDescent="0.25">
      <c r="A64" s="184"/>
      <c r="F64" s="205"/>
      <c r="H64" s="205"/>
      <c r="I64" s="209"/>
      <c r="J64" s="205"/>
      <c r="K64" s="205"/>
      <c r="L64" s="205"/>
      <c r="M64" s="205"/>
      <c r="N64" s="205"/>
      <c r="O64" s="205"/>
      <c r="P64" s="205"/>
      <c r="Q64" s="205"/>
    </row>
    <row r="65" spans="1:17" s="183" customFormat="1" x14ac:dyDescent="0.25">
      <c r="A65" s="184"/>
      <c r="F65" s="205"/>
      <c r="H65" s="205"/>
      <c r="I65" s="209"/>
      <c r="J65" s="205"/>
      <c r="K65" s="205"/>
      <c r="L65" s="205"/>
      <c r="M65" s="205"/>
      <c r="N65" s="205"/>
      <c r="O65" s="205"/>
      <c r="P65" s="205"/>
      <c r="Q65" s="205"/>
    </row>
    <row r="66" spans="1:17" s="183" customFormat="1" x14ac:dyDescent="0.25">
      <c r="A66" s="184"/>
      <c r="F66" s="205"/>
      <c r="H66" s="205"/>
      <c r="I66" s="209"/>
      <c r="J66" s="205"/>
      <c r="K66" s="205"/>
      <c r="L66" s="205"/>
      <c r="M66" s="205"/>
      <c r="N66" s="205"/>
      <c r="O66" s="205"/>
      <c r="P66" s="205"/>
      <c r="Q66" s="205"/>
    </row>
    <row r="67" spans="1:17" s="183" customFormat="1" x14ac:dyDescent="0.25">
      <c r="A67" s="300" t="s">
        <v>289</v>
      </c>
      <c r="B67" s="307" t="s">
        <v>186</v>
      </c>
      <c r="C67" s="301" t="s">
        <v>187</v>
      </c>
      <c r="D67" s="302" t="s">
        <v>188</v>
      </c>
      <c r="F67" s="205"/>
      <c r="H67" s="205"/>
      <c r="I67" s="209"/>
      <c r="J67" s="205"/>
      <c r="K67" s="205"/>
      <c r="L67" s="205"/>
      <c r="M67" s="205"/>
      <c r="N67" s="205"/>
      <c r="O67" s="205"/>
      <c r="P67" s="205"/>
      <c r="Q67" s="205"/>
    </row>
    <row r="68" spans="1:17" s="183" customFormat="1" x14ac:dyDescent="0.25">
      <c r="A68" s="310" t="s">
        <v>229</v>
      </c>
      <c r="B68" s="311">
        <f>B31</f>
        <v>57.245950613684194</v>
      </c>
      <c r="C68" s="312">
        <f>C31</f>
        <v>23.575516883803733</v>
      </c>
      <c r="D68" s="313">
        <f>D31</f>
        <v>4.0883805978017511</v>
      </c>
      <c r="F68" s="205"/>
      <c r="H68" s="205"/>
      <c r="I68" s="209"/>
      <c r="J68" s="205"/>
      <c r="K68" s="205"/>
      <c r="L68" s="205"/>
      <c r="M68" s="205"/>
      <c r="N68" s="205"/>
      <c r="O68" s="205"/>
      <c r="P68" s="205"/>
      <c r="Q68" s="205"/>
    </row>
    <row r="69" spans="1:17" x14ac:dyDescent="0.25">
      <c r="A69" s="303" t="s">
        <v>190</v>
      </c>
      <c r="B69" s="308">
        <f>B48</f>
        <v>4.6761808409263992</v>
      </c>
      <c r="C69" s="168">
        <f t="shared" ref="C69:D69" si="11">C48</f>
        <v>2.7790251200280722</v>
      </c>
      <c r="D69" s="304">
        <f t="shared" si="11"/>
        <v>1.3822407018543816</v>
      </c>
      <c r="H69" s="205"/>
      <c r="I69" s="209"/>
    </row>
    <row r="70" spans="1:17" x14ac:dyDescent="0.25">
      <c r="A70" s="174" t="s">
        <v>286</v>
      </c>
      <c r="B70" s="308">
        <f>B53</f>
        <v>1.3176043050651081</v>
      </c>
      <c r="C70" s="168">
        <f t="shared" ref="C70:D70" si="12">C53</f>
        <v>1.1594917884572951</v>
      </c>
      <c r="D70" s="304">
        <f t="shared" si="12"/>
        <v>1.0540834440520863</v>
      </c>
    </row>
    <row r="71" spans="1:17" x14ac:dyDescent="0.25">
      <c r="A71" s="247" t="s">
        <v>287</v>
      </c>
      <c r="B71" s="314">
        <f>SUM(B68:B70)</f>
        <v>63.239735759675703</v>
      </c>
      <c r="C71" s="315">
        <f t="shared" ref="C71:D71" si="13">SUM(C68:C70)</f>
        <v>27.514033792289101</v>
      </c>
      <c r="D71" s="316">
        <f t="shared" si="13"/>
        <v>6.5247047437082184</v>
      </c>
    </row>
    <row r="72" spans="1:17" x14ac:dyDescent="0.25">
      <c r="A72" s="180" t="s">
        <v>288</v>
      </c>
      <c r="B72" s="309">
        <f>B57</f>
        <v>30.619867879837852</v>
      </c>
      <c r="C72" s="305">
        <f t="shared" ref="C72:D72" si="14">C57</f>
        <v>12.757016896144551</v>
      </c>
      <c r="D72" s="306">
        <f t="shared" si="14"/>
        <v>2.2623523718541092</v>
      </c>
    </row>
  </sheetData>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9E23-5182-45D7-AC87-3723585E7AF5}">
  <dimension ref="A1:AN279"/>
  <sheetViews>
    <sheetView zoomScaleNormal="100" workbookViewId="0">
      <pane xSplit="1" ySplit="5" topLeftCell="B220" activePane="bottomRight" state="frozen"/>
      <selection pane="topRight" activeCell="B1" sqref="B1"/>
      <selection pane="bottomLeft" activeCell="A4" sqref="A4"/>
      <selection pane="bottomRight" activeCell="AG178" sqref="AG178"/>
    </sheetView>
  </sheetViews>
  <sheetFormatPr defaultColWidth="9.28515625" defaultRowHeight="15" outlineLevelRow="1" outlineLevelCol="1" x14ac:dyDescent="0.25"/>
  <cols>
    <col min="1" max="1" width="37.140625" style="249" customWidth="1"/>
    <col min="2" max="8" width="9.85546875" style="249" customWidth="1"/>
    <col min="9" max="9" width="36.7109375" style="249" customWidth="1"/>
    <col min="10" max="25" width="9.85546875" style="249" hidden="1" customWidth="1" outlineLevel="1"/>
    <col min="26" max="26" width="9.85546875" style="249" customWidth="1" collapsed="1"/>
    <col min="27" max="36" width="9.85546875" style="249" customWidth="1"/>
    <col min="37" max="37" width="29" style="249" customWidth="1"/>
    <col min="38" max="38" width="10.140625" style="249" bestFit="1" customWidth="1"/>
    <col min="39" max="39" width="9.28515625" style="249"/>
    <col min="40" max="40" width="12.28515625" style="249" customWidth="1"/>
    <col min="41" max="16322" width="9.28515625" style="249"/>
    <col min="16323" max="16349" width="9.28515625" style="249" bestFit="1" customWidth="1"/>
    <col min="16350" max="16353" width="9.28515625" style="249" customWidth="1"/>
    <col min="16354" max="16384" width="9.28515625" style="249"/>
  </cols>
  <sheetData>
    <row r="1" spans="1:37" s="3" customFormat="1" x14ac:dyDescent="0.25">
      <c r="A1" s="1" t="s">
        <v>0</v>
      </c>
      <c r="B1" s="1">
        <v>2017</v>
      </c>
      <c r="C1" s="1">
        <v>2018</v>
      </c>
      <c r="D1" s="1">
        <v>2019</v>
      </c>
      <c r="E1" s="1">
        <v>2020</v>
      </c>
      <c r="F1" s="1">
        <v>2021</v>
      </c>
      <c r="G1" s="1">
        <v>2022</v>
      </c>
      <c r="H1" s="1">
        <v>2023</v>
      </c>
      <c r="I1" s="1"/>
      <c r="J1" s="1" t="s">
        <v>1</v>
      </c>
      <c r="K1" s="1" t="s">
        <v>2</v>
      </c>
      <c r="L1" s="1" t="s">
        <v>3</v>
      </c>
      <c r="M1" s="1" t="s">
        <v>4</v>
      </c>
      <c r="N1" s="1" t="s">
        <v>5</v>
      </c>
      <c r="O1" s="1" t="s">
        <v>6</v>
      </c>
      <c r="P1" s="1" t="s">
        <v>7</v>
      </c>
      <c r="Q1" s="2" t="s">
        <v>8</v>
      </c>
      <c r="R1" s="1" t="s">
        <v>9</v>
      </c>
      <c r="S1" s="1" t="s">
        <v>10</v>
      </c>
      <c r="T1" s="1" t="s">
        <v>11</v>
      </c>
      <c r="U1" s="1" t="s">
        <v>12</v>
      </c>
      <c r="V1" s="1" t="s">
        <v>13</v>
      </c>
      <c r="W1" s="1" t="s">
        <v>14</v>
      </c>
      <c r="X1" s="1" t="s">
        <v>15</v>
      </c>
      <c r="Y1" s="1" t="s">
        <v>16</v>
      </c>
      <c r="Z1" s="1" t="s">
        <v>17</v>
      </c>
      <c r="AA1" s="1" t="s">
        <v>18</v>
      </c>
      <c r="AB1" s="1" t="s">
        <v>19</v>
      </c>
      <c r="AC1" s="2" t="s">
        <v>20</v>
      </c>
      <c r="AD1" s="1" t="s">
        <v>21</v>
      </c>
      <c r="AE1" s="1" t="s">
        <v>22</v>
      </c>
      <c r="AF1" s="1" t="s">
        <v>23</v>
      </c>
      <c r="AG1" s="2" t="s">
        <v>24</v>
      </c>
      <c r="AH1" s="1" t="s">
        <v>25</v>
      </c>
      <c r="AI1" s="1" t="s">
        <v>26</v>
      </c>
      <c r="AJ1" s="1" t="s">
        <v>27</v>
      </c>
    </row>
    <row r="2" spans="1:37" s="3" customFormat="1" x14ac:dyDescent="0.25">
      <c r="A2" s="1"/>
      <c r="B2" s="1"/>
      <c r="C2" s="1"/>
      <c r="D2" s="1"/>
      <c r="E2" s="4" t="s">
        <v>206</v>
      </c>
      <c r="F2" s="1"/>
      <c r="H2" s="4"/>
      <c r="I2" s="1"/>
      <c r="J2" s="1"/>
      <c r="K2" s="1"/>
      <c r="L2" s="1"/>
      <c r="M2" s="1"/>
      <c r="N2" s="1"/>
      <c r="O2" s="1"/>
      <c r="P2" s="1"/>
      <c r="Q2" s="2"/>
      <c r="R2" s="1"/>
      <c r="S2" s="4" t="s">
        <v>205</v>
      </c>
      <c r="T2" s="1"/>
      <c r="U2" s="1"/>
      <c r="V2" s="1"/>
      <c r="W2" s="4" t="s">
        <v>178</v>
      </c>
      <c r="X2" s="1"/>
      <c r="Y2" s="1"/>
      <c r="Z2" s="1"/>
      <c r="AA2" s="1"/>
      <c r="AB2" s="1"/>
      <c r="AC2" s="2"/>
      <c r="AG2" s="2"/>
    </row>
    <row r="3" spans="1:37" s="3" customFormat="1" x14ac:dyDescent="0.25">
      <c r="A3" s="1"/>
      <c r="B3" s="1"/>
      <c r="C3" s="1"/>
      <c r="D3" s="1"/>
      <c r="E3" s="317" t="s">
        <v>299</v>
      </c>
      <c r="G3" s="5"/>
      <c r="H3" s="5"/>
      <c r="I3" s="1"/>
      <c r="J3" s="1"/>
      <c r="K3" s="1"/>
      <c r="L3" s="1"/>
      <c r="M3" s="1"/>
      <c r="N3" s="1"/>
      <c r="O3" s="1"/>
      <c r="P3" s="1"/>
      <c r="Q3" s="2"/>
      <c r="R3" s="1"/>
      <c r="T3" s="4"/>
      <c r="U3" s="249" t="s">
        <v>28</v>
      </c>
      <c r="V3" s="1"/>
      <c r="X3" s="1"/>
      <c r="Y3" s="4"/>
      <c r="Z3" s="4" t="s">
        <v>181</v>
      </c>
      <c r="AB3" s="1"/>
      <c r="AC3" s="1"/>
      <c r="AE3" s="37"/>
      <c r="AG3" s="1"/>
    </row>
    <row r="4" spans="1:37" x14ac:dyDescent="0.25">
      <c r="A4" s="1"/>
      <c r="B4" s="1"/>
      <c r="C4" s="4"/>
      <c r="D4" s="4"/>
      <c r="F4" s="4" t="s">
        <v>178</v>
      </c>
      <c r="I4" s="1"/>
      <c r="J4" s="4"/>
      <c r="K4" s="4"/>
      <c r="L4" s="4"/>
      <c r="M4" s="4"/>
      <c r="N4" s="4"/>
      <c r="O4" s="4"/>
      <c r="P4" s="4"/>
      <c r="Q4" s="7"/>
      <c r="R4" s="4"/>
      <c r="S4" s="4"/>
      <c r="T4" s="4"/>
      <c r="V4" s="4"/>
      <c r="W4" s="4"/>
      <c r="X4" s="4"/>
      <c r="Y4" s="4"/>
      <c r="Z4" s="4"/>
      <c r="AA4" s="1"/>
    </row>
    <row r="5" spans="1:37" x14ac:dyDescent="0.25">
      <c r="A5" s="1" t="s">
        <v>29</v>
      </c>
      <c r="B5" s="1"/>
      <c r="C5" s="4"/>
      <c r="D5" s="4"/>
      <c r="G5" s="4" t="s">
        <v>180</v>
      </c>
      <c r="J5" s="1"/>
      <c r="K5" s="1"/>
      <c r="L5" s="1"/>
      <c r="M5" s="1"/>
      <c r="N5" s="1"/>
      <c r="O5" s="1"/>
      <c r="P5" s="1"/>
      <c r="Q5" s="8"/>
      <c r="R5" s="1"/>
      <c r="S5" s="1"/>
      <c r="T5" s="1"/>
      <c r="U5" s="9"/>
      <c r="V5" s="1"/>
      <c r="W5" s="1"/>
      <c r="X5" s="1"/>
      <c r="Y5" s="4"/>
      <c r="Z5" s="4"/>
      <c r="AA5" s="4"/>
      <c r="AB5" s="4"/>
      <c r="AC5" s="4"/>
      <c r="AD5" s="4"/>
      <c r="AH5" s="4"/>
      <c r="AI5" s="4"/>
      <c r="AJ5" s="4"/>
    </row>
    <row r="6" spans="1:37" x14ac:dyDescent="0.25">
      <c r="A6" s="132" t="s">
        <v>219</v>
      </c>
      <c r="B6" s="1"/>
      <c r="C6" s="1"/>
      <c r="D6" s="1"/>
      <c r="E6" s="1"/>
      <c r="F6" s="1"/>
      <c r="G6" s="1"/>
      <c r="H6" s="1"/>
      <c r="I6" s="1"/>
      <c r="J6" s="1"/>
      <c r="K6" s="1"/>
      <c r="L6" s="1"/>
      <c r="M6" s="1"/>
      <c r="N6" s="1"/>
      <c r="O6" s="1"/>
      <c r="P6" s="1"/>
      <c r="Q6" s="2"/>
      <c r="R6" s="1"/>
      <c r="S6" s="1"/>
      <c r="T6" s="1"/>
      <c r="U6" s="1"/>
      <c r="V6" s="1"/>
      <c r="W6" s="1"/>
      <c r="X6" s="1"/>
      <c r="Y6" s="1"/>
      <c r="Z6" s="1"/>
      <c r="AA6" s="1"/>
      <c r="AB6" s="1"/>
      <c r="AC6" s="2"/>
      <c r="AD6" s="1"/>
      <c r="AE6" s="1"/>
      <c r="AF6" s="1"/>
      <c r="AG6" s="2"/>
      <c r="AH6" s="1"/>
      <c r="AI6" s="1"/>
      <c r="AJ6" s="1"/>
    </row>
    <row r="7" spans="1:37" x14ac:dyDescent="0.25">
      <c r="A7" s="10" t="s">
        <v>164</v>
      </c>
      <c r="B7" s="11">
        <v>317.60000000000002</v>
      </c>
      <c r="C7" s="11">
        <v>754.1</v>
      </c>
      <c r="D7" s="11">
        <v>1102.9000000000001</v>
      </c>
      <c r="E7" s="11">
        <v>2305.4</v>
      </c>
      <c r="F7" s="11">
        <v>4045.5</v>
      </c>
      <c r="G7" s="11">
        <f>6210-69</f>
        <v>6141</v>
      </c>
      <c r="H7" s="11">
        <v>6491.7</v>
      </c>
      <c r="I7" s="12"/>
      <c r="J7" s="7"/>
      <c r="K7" s="7"/>
      <c r="L7" s="7"/>
      <c r="M7" s="7"/>
      <c r="N7" s="7">
        <f>D7-SUM(O7:Q7)</f>
        <v>200</v>
      </c>
      <c r="O7" s="11">
        <v>245.5</v>
      </c>
      <c r="P7" s="11">
        <v>304.89999999999998</v>
      </c>
      <c r="Q7" s="11">
        <f>D7-750.4</f>
        <v>352.50000000000011</v>
      </c>
      <c r="R7" s="11">
        <v>507.6</v>
      </c>
      <c r="S7" s="11">
        <v>485.8</v>
      </c>
      <c r="T7" s="11">
        <v>582.5</v>
      </c>
      <c r="U7" s="7">
        <v>729.3</v>
      </c>
      <c r="V7" s="11">
        <v>778.2</v>
      </c>
      <c r="W7" s="11">
        <v>881</v>
      </c>
      <c r="X7" s="11">
        <v>1072.4000000000001</v>
      </c>
      <c r="Y7" s="11">
        <v>1313.6</v>
      </c>
      <c r="Z7" s="11">
        <v>1402.2</v>
      </c>
      <c r="AA7" s="11">
        <v>1465.4</v>
      </c>
      <c r="AB7" s="11">
        <v>1544.2</v>
      </c>
      <c r="AC7" s="11">
        <f>1798-69</f>
        <v>1729</v>
      </c>
      <c r="AD7" s="11">
        <f>1826.6-40</f>
        <v>1786.6</v>
      </c>
      <c r="AE7" s="11">
        <f>1830.1-213.7</f>
        <v>1616.3999999999999</v>
      </c>
      <c r="AF7" s="11">
        <f>1784.9-244.7</f>
        <v>1540.2</v>
      </c>
      <c r="AG7" s="11">
        <v>1548.5</v>
      </c>
      <c r="AH7" s="11">
        <v>1278.5</v>
      </c>
      <c r="AI7" s="11">
        <v>912.44799999999998</v>
      </c>
      <c r="AJ7" s="11">
        <v>930.2</v>
      </c>
      <c r="AK7" s="3"/>
    </row>
    <row r="8" spans="1:37" s="251" customFormat="1" x14ac:dyDescent="0.25">
      <c r="A8" s="13" t="s">
        <v>30</v>
      </c>
      <c r="B8" s="14">
        <f>869.2+31.1</f>
        <v>900.30000000000007</v>
      </c>
      <c r="C8" s="14">
        <f>1111.4+56.4</f>
        <v>1167.8000000000002</v>
      </c>
      <c r="D8" s="14">
        <v>1996.7</v>
      </c>
      <c r="E8" s="14">
        <v>3434.5</v>
      </c>
      <c r="F8" s="14">
        <v>2820.7</v>
      </c>
      <c r="G8" s="14">
        <v>3157.5</v>
      </c>
      <c r="H8" s="14">
        <v>4014.4</v>
      </c>
      <c r="I8" s="15"/>
      <c r="J8" s="16"/>
      <c r="K8" s="16"/>
      <c r="L8" s="16"/>
      <c r="M8" s="16"/>
      <c r="N8" s="16">
        <f>D8-SUM(O8:Q8)</f>
        <v>326.59999999999991</v>
      </c>
      <c r="O8" s="14">
        <v>439.6</v>
      </c>
      <c r="P8" s="14">
        <v>396.6</v>
      </c>
      <c r="Q8" s="14">
        <f>D8-1162.8</f>
        <v>833.90000000000009</v>
      </c>
      <c r="R8" s="14">
        <v>591.9</v>
      </c>
      <c r="S8" s="14">
        <v>837.1</v>
      </c>
      <c r="T8" s="14">
        <v>718.9</v>
      </c>
      <c r="U8" s="16">
        <f>E8-SUM(R8:T8)</f>
        <v>1286.5999999999999</v>
      </c>
      <c r="V8" s="14">
        <v>894.4</v>
      </c>
      <c r="W8" s="14">
        <v>593.5</v>
      </c>
      <c r="X8" s="14">
        <v>614.20000000000005</v>
      </c>
      <c r="Y8" s="14">
        <v>718.4</v>
      </c>
      <c r="Z8" s="14">
        <v>623</v>
      </c>
      <c r="AA8" s="14">
        <v>815.6</v>
      </c>
      <c r="AB8" s="14">
        <v>835.8</v>
      </c>
      <c r="AC8" s="14">
        <v>882.9</v>
      </c>
      <c r="AD8" s="14">
        <v>748.8</v>
      </c>
      <c r="AE8" s="14">
        <v>980.4</v>
      </c>
      <c r="AF8" s="14">
        <v>1081.5</v>
      </c>
      <c r="AG8" s="14">
        <v>1203.5999999999999</v>
      </c>
      <c r="AH8" s="14">
        <v>1173.2</v>
      </c>
      <c r="AI8" s="14">
        <v>1437.4590000000001</v>
      </c>
      <c r="AJ8" s="14">
        <v>1499.2</v>
      </c>
    </row>
    <row r="9" spans="1:37" s="3" customFormat="1" x14ac:dyDescent="0.25">
      <c r="A9" s="9" t="s">
        <v>31</v>
      </c>
      <c r="B9" s="9">
        <f t="shared" ref="B9:G9" si="0">SUM(B7:B8)</f>
        <v>1217.9000000000001</v>
      </c>
      <c r="C9" s="9">
        <f t="shared" si="0"/>
        <v>1921.9</v>
      </c>
      <c r="D9" s="9">
        <f t="shared" si="0"/>
        <v>3099.6000000000004</v>
      </c>
      <c r="E9" s="9">
        <f t="shared" si="0"/>
        <v>5739.9</v>
      </c>
      <c r="F9" s="9">
        <f t="shared" si="0"/>
        <v>6866.2</v>
      </c>
      <c r="G9" s="9">
        <f t="shared" si="0"/>
        <v>9298.5</v>
      </c>
      <c r="H9" s="9">
        <f>SUM(H7:H8)</f>
        <v>10506.1</v>
      </c>
      <c r="I9" s="9"/>
      <c r="J9" s="9"/>
      <c r="K9" s="9"/>
      <c r="L9" s="9"/>
      <c r="M9" s="9"/>
      <c r="N9" s="9">
        <f t="shared" ref="N9:AE9" si="1">SUM(N7:N8)</f>
        <v>526.59999999999991</v>
      </c>
      <c r="O9" s="9">
        <f t="shared" si="1"/>
        <v>685.1</v>
      </c>
      <c r="P9" s="9">
        <f t="shared" si="1"/>
        <v>701.5</v>
      </c>
      <c r="Q9" s="9">
        <f t="shared" si="1"/>
        <v>1186.4000000000001</v>
      </c>
      <c r="R9" s="9">
        <f t="shared" si="1"/>
        <v>1099.5</v>
      </c>
      <c r="S9" s="9">
        <f t="shared" si="1"/>
        <v>1322.9</v>
      </c>
      <c r="T9" s="9">
        <f t="shared" si="1"/>
        <v>1301.4000000000001</v>
      </c>
      <c r="U9" s="9">
        <f t="shared" si="1"/>
        <v>2015.8999999999999</v>
      </c>
      <c r="V9" s="9">
        <f t="shared" si="1"/>
        <v>1672.6</v>
      </c>
      <c r="W9" s="9">
        <f t="shared" si="1"/>
        <v>1474.5</v>
      </c>
      <c r="X9" s="9">
        <f t="shared" si="1"/>
        <v>1686.6000000000001</v>
      </c>
      <c r="Y9" s="9">
        <f t="shared" si="1"/>
        <v>2032</v>
      </c>
      <c r="Z9" s="9">
        <f t="shared" si="1"/>
        <v>2025.2</v>
      </c>
      <c r="AA9" s="9">
        <f t="shared" si="1"/>
        <v>2281</v>
      </c>
      <c r="AB9" s="9">
        <f t="shared" si="1"/>
        <v>2380</v>
      </c>
      <c r="AC9" s="9">
        <f t="shared" si="1"/>
        <v>2611.9</v>
      </c>
      <c r="AD9" s="9">
        <f t="shared" si="1"/>
        <v>2535.3999999999996</v>
      </c>
      <c r="AE9" s="9">
        <f t="shared" si="1"/>
        <v>2596.7999999999997</v>
      </c>
      <c r="AF9" s="9">
        <f>SUM(AF7:AF8)</f>
        <v>2621.7</v>
      </c>
      <c r="AG9" s="9">
        <f>SUM(AG7:AG8)</f>
        <v>2752.1</v>
      </c>
      <c r="AH9" s="9">
        <f t="shared" ref="AH9:AJ9" si="2">SUM(AH7:AH8)</f>
        <v>2451.6999999999998</v>
      </c>
      <c r="AI9" s="9">
        <f t="shared" si="2"/>
        <v>2349.9070000000002</v>
      </c>
      <c r="AJ9" s="9">
        <f t="shared" si="2"/>
        <v>2429.4</v>
      </c>
    </row>
    <row r="10" spans="1:37" x14ac:dyDescent="0.25">
      <c r="A10" s="135" t="s">
        <v>165</v>
      </c>
      <c r="B10" s="135"/>
      <c r="C10" s="20">
        <f t="shared" ref="C10:C12" si="3">C7/B7-1</f>
        <v>1.3743702770780857</v>
      </c>
      <c r="D10" s="20">
        <f t="shared" ref="D10:D12" si="4">D7/C7-1</f>
        <v>0.46253812491711987</v>
      </c>
      <c r="E10" s="20">
        <f t="shared" ref="E10:E12" si="5">E7/D7-1</f>
        <v>1.0903073714752018</v>
      </c>
      <c r="F10" s="20">
        <f t="shared" ref="F10:F12" si="6">F7/E7-1</f>
        <v>0.75479309447384391</v>
      </c>
      <c r="G10" s="20">
        <f t="shared" ref="G10:G12" si="7">G7/F7-1</f>
        <v>0.51798294401186507</v>
      </c>
      <c r="H10" s="20">
        <f t="shared" ref="H10:H12" si="8">H7/G7-1</f>
        <v>5.7107962872496199E-2</v>
      </c>
      <c r="I10" s="19"/>
      <c r="J10" s="20"/>
      <c r="K10" s="20"/>
      <c r="L10" s="20"/>
      <c r="M10" s="20"/>
      <c r="N10" s="20"/>
      <c r="O10" s="20"/>
      <c r="P10" s="20"/>
      <c r="Q10" s="21"/>
      <c r="R10" s="20">
        <f t="shared" ref="R10:R12" si="9">R7/N7-1</f>
        <v>1.5380000000000003</v>
      </c>
      <c r="S10" s="20">
        <f t="shared" ref="S10:S12" si="10">S7/O7-1</f>
        <v>0.97881873727087587</v>
      </c>
      <c r="T10" s="20">
        <f t="shared" ref="T10:T12" si="11">T7/P7-1</f>
        <v>0.91046244670383736</v>
      </c>
      <c r="U10" s="20">
        <f t="shared" ref="U10:U12" si="12">U7/Q7-1</f>
        <v>1.0689361702127651</v>
      </c>
      <c r="V10" s="20">
        <f t="shared" ref="V10:V12" si="13">V7/R7-1</f>
        <v>0.53309692671394804</v>
      </c>
      <c r="W10" s="20">
        <f t="shared" ref="W10:W12" si="14">W7/S7-1</f>
        <v>0.81350349938246191</v>
      </c>
      <c r="X10" s="20">
        <f t="shared" ref="X10:X12" si="15">X7/T7-1</f>
        <v>0.84103004291845518</v>
      </c>
      <c r="Y10" s="20">
        <f t="shared" ref="Y10:Y12" si="16">Y7/U7-1</f>
        <v>0.80117921294391881</v>
      </c>
      <c r="Z10" s="20">
        <f t="shared" ref="Z10:Z12" si="17">Z7/V7-1</f>
        <v>0.80185042405551266</v>
      </c>
      <c r="AA10" s="20">
        <f t="shared" ref="AA10:AA12" si="18">AA7/W7-1</f>
        <v>0.66333711691259944</v>
      </c>
      <c r="AB10" s="20">
        <f t="shared" ref="AB10:AB12" si="19">AB7/X7-1</f>
        <v>0.43994778067885099</v>
      </c>
      <c r="AC10" s="20">
        <f t="shared" ref="AC10:AC12" si="20">AC7/Y7-1</f>
        <v>0.31623020706455551</v>
      </c>
      <c r="AD10" s="20">
        <f t="shared" ref="AD10:AD12" si="21">AD7/Z7-1</f>
        <v>0.2741406361432035</v>
      </c>
      <c r="AE10" s="20">
        <f t="shared" ref="AE10:AE12" si="22">AE7/AA7-1</f>
        <v>0.10304353760065488</v>
      </c>
      <c r="AF10" s="20">
        <f t="shared" ref="AF10:AF12" si="23">AF7/AB7-1</f>
        <v>-2.5903380391141262E-3</v>
      </c>
      <c r="AG10" s="20">
        <f>AG7/AC7-1</f>
        <v>-0.10439560439560436</v>
      </c>
      <c r="AH10" s="20">
        <f t="shared" ref="AH10:AH12" si="24">AH7/AD7-1</f>
        <v>-0.28439494010970556</v>
      </c>
      <c r="AI10" s="20">
        <f t="shared" ref="AI10:AI12" si="25">AI7/AE7-1</f>
        <v>-0.43550606285572879</v>
      </c>
      <c r="AJ10" s="20">
        <f t="shared" ref="AJ10:AJ12" si="26">AJ7/AF7-1</f>
        <v>-0.39605246071938704</v>
      </c>
    </row>
    <row r="11" spans="1:37" x14ac:dyDescent="0.25">
      <c r="A11" s="135" t="s">
        <v>32</v>
      </c>
      <c r="B11" s="135"/>
      <c r="C11" s="20">
        <f t="shared" si="3"/>
        <v>0.29712318116183511</v>
      </c>
      <c r="D11" s="20">
        <f t="shared" si="4"/>
        <v>0.70979619797910587</v>
      </c>
      <c r="E11" s="20">
        <f t="shared" si="5"/>
        <v>0.7200881454399759</v>
      </c>
      <c r="F11" s="20">
        <f t="shared" si="6"/>
        <v>-0.178715970301354</v>
      </c>
      <c r="G11" s="20">
        <f t="shared" si="7"/>
        <v>0.11940298507462699</v>
      </c>
      <c r="H11" s="20">
        <f t="shared" si="8"/>
        <v>0.27138558986539985</v>
      </c>
      <c r="I11" s="20"/>
      <c r="J11" s="20"/>
      <c r="K11" s="20"/>
      <c r="L11" s="20"/>
      <c r="M11" s="20"/>
      <c r="N11" s="20"/>
      <c r="O11" s="20"/>
      <c r="P11" s="20"/>
      <c r="Q11" s="21"/>
      <c r="R11" s="20">
        <f t="shared" si="9"/>
        <v>0.8123086344151873</v>
      </c>
      <c r="S11" s="20">
        <f t="shared" si="10"/>
        <v>0.90423111919927202</v>
      </c>
      <c r="T11" s="20">
        <f t="shared" si="11"/>
        <v>0.8126575895108421</v>
      </c>
      <c r="U11" s="20">
        <f t="shared" si="12"/>
        <v>0.54287084782347983</v>
      </c>
      <c r="V11" s="20">
        <f t="shared" si="13"/>
        <v>0.5110660584558202</v>
      </c>
      <c r="W11" s="20">
        <f t="shared" si="14"/>
        <v>-0.291004658941584</v>
      </c>
      <c r="X11" s="20">
        <f t="shared" si="15"/>
        <v>-0.14563917095562651</v>
      </c>
      <c r="Y11" s="20">
        <f t="shared" si="16"/>
        <v>-0.44162909995336541</v>
      </c>
      <c r="Z11" s="20">
        <f t="shared" si="17"/>
        <v>-0.30344364937388191</v>
      </c>
      <c r="AA11" s="20">
        <f t="shared" si="18"/>
        <v>0.37422072451558552</v>
      </c>
      <c r="AB11" s="20">
        <f t="shared" si="19"/>
        <v>0.36079452946922808</v>
      </c>
      <c r="AC11" s="20">
        <f t="shared" si="20"/>
        <v>0.22898106904231619</v>
      </c>
      <c r="AD11" s="20">
        <f t="shared" si="21"/>
        <v>0.20192616372391647</v>
      </c>
      <c r="AE11" s="20">
        <f t="shared" si="22"/>
        <v>0.20205983325159393</v>
      </c>
      <c r="AF11" s="20">
        <f t="shared" si="23"/>
        <v>0.29396984924623126</v>
      </c>
      <c r="AG11" s="20">
        <f>AG8/AC8-1</f>
        <v>0.36323479442745499</v>
      </c>
      <c r="AH11" s="20">
        <f t="shared" si="24"/>
        <v>0.56677350427350448</v>
      </c>
      <c r="AI11" s="20">
        <f t="shared" si="25"/>
        <v>0.46619645042839664</v>
      </c>
      <c r="AJ11" s="20">
        <f t="shared" si="26"/>
        <v>0.38622283865002305</v>
      </c>
    </row>
    <row r="12" spans="1:37" s="26" customFormat="1" x14ac:dyDescent="0.25">
      <c r="A12" s="24" t="s">
        <v>33</v>
      </c>
      <c r="B12" s="24"/>
      <c r="C12" s="20">
        <f t="shared" si="3"/>
        <v>0.57804417439855493</v>
      </c>
      <c r="D12" s="20">
        <f t="shared" si="4"/>
        <v>0.61277902076070556</v>
      </c>
      <c r="E12" s="20">
        <f t="shared" si="5"/>
        <v>0.85181958962446735</v>
      </c>
      <c r="F12" s="20">
        <f t="shared" si="6"/>
        <v>0.19622293071307872</v>
      </c>
      <c r="G12" s="20">
        <f t="shared" si="7"/>
        <v>0.35424252133640155</v>
      </c>
      <c r="H12" s="20">
        <f t="shared" si="8"/>
        <v>0.12987040920578585</v>
      </c>
      <c r="I12" s="23"/>
      <c r="J12" s="20"/>
      <c r="K12" s="20"/>
      <c r="L12" s="20"/>
      <c r="M12" s="20"/>
      <c r="N12" s="20"/>
      <c r="O12" s="20"/>
      <c r="P12" s="20"/>
      <c r="Q12" s="21"/>
      <c r="R12" s="20">
        <f t="shared" si="9"/>
        <v>1.0879225218382076</v>
      </c>
      <c r="S12" s="20">
        <f t="shared" si="10"/>
        <v>0.93095898408991395</v>
      </c>
      <c r="T12" s="20">
        <f t="shared" si="11"/>
        <v>0.85516749821810412</v>
      </c>
      <c r="U12" s="20">
        <f t="shared" si="12"/>
        <v>0.69917397167902884</v>
      </c>
      <c r="V12" s="20">
        <f t="shared" si="13"/>
        <v>0.52123692587539772</v>
      </c>
      <c r="W12" s="20">
        <f t="shared" si="14"/>
        <v>0.11459671932874738</v>
      </c>
      <c r="X12" s="20">
        <f t="shared" si="15"/>
        <v>0.29598893499308443</v>
      </c>
      <c r="Y12" s="20">
        <f t="shared" si="16"/>
        <v>7.9865072672256066E-3</v>
      </c>
      <c r="Z12" s="20">
        <f t="shared" si="17"/>
        <v>0.21080951811550896</v>
      </c>
      <c r="AA12" s="20">
        <f t="shared" si="18"/>
        <v>0.54696507290606977</v>
      </c>
      <c r="AB12" s="20">
        <f t="shared" si="19"/>
        <v>0.4111229692873235</v>
      </c>
      <c r="AC12" s="20">
        <f t="shared" si="20"/>
        <v>0.28538385826771662</v>
      </c>
      <c r="AD12" s="20">
        <f t="shared" si="21"/>
        <v>0.25192573572980415</v>
      </c>
      <c r="AE12" s="20">
        <f t="shared" si="22"/>
        <v>0.13844804910127118</v>
      </c>
      <c r="AF12" s="20">
        <f t="shared" si="23"/>
        <v>0.10155462184873931</v>
      </c>
      <c r="AG12" s="20">
        <f>AG9/AC9-1</f>
        <v>5.3677399594165065E-2</v>
      </c>
      <c r="AH12" s="20">
        <f t="shared" si="24"/>
        <v>-3.3012542399621259E-2</v>
      </c>
      <c r="AI12" s="20">
        <f t="shared" si="25"/>
        <v>-9.5075862600123129E-2</v>
      </c>
      <c r="AJ12" s="20">
        <f t="shared" si="26"/>
        <v>-7.3349353472937362E-2</v>
      </c>
    </row>
    <row r="13" spans="1:37" s="26" customFormat="1" x14ac:dyDescent="0.25">
      <c r="A13" s="24"/>
      <c r="B13" s="24"/>
      <c r="C13" s="20"/>
      <c r="D13" s="20"/>
      <c r="E13" s="20"/>
      <c r="F13" s="20"/>
      <c r="G13" s="20"/>
      <c r="H13" s="20"/>
      <c r="I13" s="9"/>
      <c r="J13" s="20"/>
      <c r="K13" s="20"/>
      <c r="L13" s="20"/>
      <c r="M13" s="20"/>
      <c r="N13" s="20"/>
      <c r="O13" s="20"/>
      <c r="P13" s="20"/>
      <c r="Q13" s="21"/>
      <c r="R13" s="20"/>
      <c r="S13" s="20"/>
      <c r="T13" s="20"/>
      <c r="U13" s="20"/>
      <c r="V13" s="20"/>
      <c r="W13" s="20"/>
      <c r="X13" s="20"/>
      <c r="Y13" s="20"/>
      <c r="Z13" s="20"/>
      <c r="AA13" s="20"/>
      <c r="AB13" s="20"/>
      <c r="AC13" s="20"/>
      <c r="AD13" s="20"/>
      <c r="AE13" s="20"/>
      <c r="AF13" s="20"/>
      <c r="AG13" s="20"/>
      <c r="AH13" s="20"/>
      <c r="AI13" s="20"/>
      <c r="AJ13" s="20"/>
    </row>
    <row r="14" spans="1:37" s="26" customFormat="1" hidden="1" outlineLevel="1" x14ac:dyDescent="0.25">
      <c r="A14" s="27" t="s">
        <v>34</v>
      </c>
      <c r="B14" s="24"/>
      <c r="C14" s="20"/>
      <c r="D14" s="20"/>
      <c r="E14" s="20"/>
      <c r="F14" s="20"/>
      <c r="G14" s="20"/>
      <c r="H14" s="20"/>
      <c r="I14" s="28"/>
      <c r="J14" s="20"/>
      <c r="K14" s="20"/>
      <c r="L14" s="20"/>
      <c r="M14" s="20"/>
      <c r="N14" s="20"/>
      <c r="O14" s="20"/>
      <c r="P14" s="20"/>
      <c r="Q14" s="21"/>
      <c r="R14" s="20"/>
      <c r="S14" s="20"/>
      <c r="T14" s="20"/>
      <c r="U14" s="20"/>
      <c r="V14" s="20"/>
      <c r="W14" s="20"/>
      <c r="X14" s="20"/>
      <c r="Y14" s="20"/>
      <c r="Z14" s="20"/>
      <c r="AA14" s="20"/>
      <c r="AB14" s="20"/>
      <c r="AC14" s="20"/>
      <c r="AD14" s="20"/>
      <c r="AE14" s="20"/>
      <c r="AF14" s="20"/>
      <c r="AG14" s="20"/>
      <c r="AH14" s="20"/>
      <c r="AI14" s="20"/>
      <c r="AJ14" s="20"/>
    </row>
    <row r="15" spans="1:37" s="30" customFormat="1" hidden="1" outlineLevel="1" x14ac:dyDescent="0.25">
      <c r="A15" s="29" t="s">
        <v>35</v>
      </c>
      <c r="B15" s="8">
        <f>B17-B16</f>
        <v>982.80000000000007</v>
      </c>
      <c r="C15" s="8">
        <f t="shared" ref="C15:H15" si="27">C17-C16</f>
        <v>1258.3000000000002</v>
      </c>
      <c r="D15" s="8">
        <f t="shared" si="27"/>
        <v>2084.4</v>
      </c>
      <c r="E15" s="8">
        <f t="shared" si="27"/>
        <v>3503.8</v>
      </c>
      <c r="F15" s="8">
        <f t="shared" si="27"/>
        <v>2945.7</v>
      </c>
      <c r="G15" s="8">
        <f t="shared" si="27"/>
        <v>3358.3</v>
      </c>
      <c r="H15" s="8">
        <f t="shared" si="27"/>
        <v>4307.5</v>
      </c>
      <c r="I15" s="8"/>
      <c r="J15" s="8"/>
      <c r="K15" s="8"/>
      <c r="L15" s="8"/>
      <c r="M15" s="8"/>
      <c r="N15" s="8"/>
      <c r="O15" s="8"/>
      <c r="P15" s="8"/>
      <c r="Q15" s="8"/>
      <c r="R15" s="8"/>
      <c r="S15" s="8"/>
      <c r="T15" s="8"/>
      <c r="U15" s="8"/>
      <c r="V15" s="8"/>
      <c r="W15" s="8"/>
      <c r="X15" s="8"/>
      <c r="Y15" s="8"/>
      <c r="Z15" s="8"/>
      <c r="AA15" s="20"/>
      <c r="AB15" s="20"/>
      <c r="AC15" s="20"/>
      <c r="AD15" s="20"/>
      <c r="AE15" s="20"/>
      <c r="AF15" s="20"/>
      <c r="AG15" s="20"/>
      <c r="AH15" s="20"/>
      <c r="AI15" s="20"/>
      <c r="AJ15" s="20"/>
    </row>
    <row r="16" spans="1:37" s="252" customFormat="1" hidden="1" outlineLevel="1" x14ac:dyDescent="0.25">
      <c r="A16" s="31" t="s">
        <v>36</v>
      </c>
      <c r="B16" s="11">
        <v>-82.5</v>
      </c>
      <c r="C16" s="11">
        <v>-90.5</v>
      </c>
      <c r="D16" s="11">
        <v>-87.7</v>
      </c>
      <c r="E16" s="11">
        <v>-69.3</v>
      </c>
      <c r="F16" s="11">
        <v>-125</v>
      </c>
      <c r="G16" s="11">
        <v>-200.8</v>
      </c>
      <c r="H16" s="11">
        <f>-293.1</f>
        <v>-293.10000000000002</v>
      </c>
      <c r="I16" s="12"/>
      <c r="J16" s="11"/>
      <c r="K16" s="11"/>
      <c r="L16" s="11"/>
      <c r="M16" s="11"/>
      <c r="N16" s="11"/>
      <c r="O16" s="11"/>
      <c r="P16" s="11"/>
      <c r="Q16" s="7"/>
      <c r="R16" s="11"/>
      <c r="S16" s="11"/>
      <c r="T16" s="11"/>
      <c r="U16" s="7"/>
      <c r="V16" s="11"/>
      <c r="W16" s="11"/>
      <c r="X16" s="11"/>
      <c r="Y16" s="11"/>
      <c r="Z16" s="11"/>
      <c r="AA16" s="11"/>
      <c r="AB16" s="11"/>
      <c r="AC16" s="11"/>
      <c r="AD16" s="11"/>
      <c r="AE16" s="11"/>
      <c r="AF16" s="11"/>
      <c r="AG16" s="11"/>
      <c r="AH16" s="11"/>
      <c r="AI16" s="11"/>
      <c r="AJ16" s="11"/>
    </row>
    <row r="17" spans="1:37" s="30" customFormat="1" hidden="1" outlineLevel="1" x14ac:dyDescent="0.25">
      <c r="A17" s="29" t="s">
        <v>37</v>
      </c>
      <c r="B17" s="8">
        <f>B8</f>
        <v>900.30000000000007</v>
      </c>
      <c r="C17" s="8">
        <f t="shared" ref="C17:H17" si="28">C8</f>
        <v>1167.8000000000002</v>
      </c>
      <c r="D17" s="8">
        <f t="shared" si="28"/>
        <v>1996.7</v>
      </c>
      <c r="E17" s="8">
        <f t="shared" si="28"/>
        <v>3434.5</v>
      </c>
      <c r="F17" s="8">
        <f t="shared" si="28"/>
        <v>2820.7</v>
      </c>
      <c r="G17" s="8">
        <f t="shared" si="28"/>
        <v>3157.5</v>
      </c>
      <c r="H17" s="8">
        <f t="shared" si="28"/>
        <v>4014.4</v>
      </c>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row>
    <row r="18" spans="1:37" s="26" customFormat="1" hidden="1" outlineLevel="1" x14ac:dyDescent="0.25">
      <c r="A18" s="24"/>
      <c r="B18" s="24"/>
      <c r="C18" s="20"/>
      <c r="D18" s="20"/>
      <c r="E18" s="20"/>
      <c r="F18" s="20"/>
      <c r="G18" s="20"/>
      <c r="H18" s="20"/>
      <c r="I18" s="28"/>
      <c r="J18" s="20"/>
      <c r="K18" s="20"/>
      <c r="L18" s="20"/>
      <c r="M18" s="20"/>
      <c r="N18" s="20"/>
      <c r="O18" s="20"/>
      <c r="P18" s="20"/>
      <c r="Q18" s="21"/>
      <c r="R18" s="20"/>
      <c r="S18" s="20"/>
      <c r="T18" s="20"/>
      <c r="U18" s="20"/>
      <c r="V18" s="20"/>
      <c r="W18" s="20"/>
      <c r="X18" s="20"/>
      <c r="Y18" s="20"/>
      <c r="Z18" s="20"/>
      <c r="AA18" s="20"/>
      <c r="AB18" s="20"/>
      <c r="AC18" s="20"/>
      <c r="AD18" s="20"/>
      <c r="AE18" s="20"/>
      <c r="AF18" s="20"/>
      <c r="AG18" s="20"/>
      <c r="AH18" s="20"/>
      <c r="AI18" s="20"/>
      <c r="AJ18" s="20"/>
    </row>
    <row r="19" spans="1:37" collapsed="1" x14ac:dyDescent="0.25">
      <c r="A19" s="10" t="s">
        <v>39</v>
      </c>
      <c r="B19" s="11">
        <v>-1592.6</v>
      </c>
      <c r="C19" s="11">
        <v>-2044.1</v>
      </c>
      <c r="D19" s="11">
        <v>-2845.8</v>
      </c>
      <c r="E19" s="11">
        <v>-4721.3</v>
      </c>
      <c r="F19" s="11">
        <v>-5139.1000000000004</v>
      </c>
      <c r="G19" s="11">
        <f>-5743+70</f>
        <v>-5673</v>
      </c>
      <c r="H19" s="11">
        <f>-6530.3</f>
        <v>-6530.3</v>
      </c>
      <c r="I19" s="12"/>
      <c r="J19" s="7"/>
      <c r="K19" s="7"/>
      <c r="L19" s="7"/>
      <c r="M19" s="7"/>
      <c r="N19" s="7">
        <f>D19-SUM(O19:Q19)</f>
        <v>-489.59999999999991</v>
      </c>
      <c r="O19" s="11">
        <v>-615.6</v>
      </c>
      <c r="P19" s="11">
        <v>-657.3</v>
      </c>
      <c r="Q19" s="11">
        <f>D19+1762.5</f>
        <v>-1083.3000000000002</v>
      </c>
      <c r="R19" s="11">
        <v>-965.7</v>
      </c>
      <c r="S19" s="11">
        <v>-1100.0999999999999</v>
      </c>
      <c r="T19" s="11">
        <v>-1018.1</v>
      </c>
      <c r="U19" s="7">
        <f>E19-SUM(R19:T19)</f>
        <v>-1637.4</v>
      </c>
      <c r="V19" s="11">
        <v>-1394.9</v>
      </c>
      <c r="W19" s="11">
        <v>-1136.4000000000001</v>
      </c>
      <c r="X19" s="11">
        <v>-1235.7</v>
      </c>
      <c r="Y19" s="11">
        <v>-1371.8</v>
      </c>
      <c r="Z19" s="11">
        <v>-1270.2</v>
      </c>
      <c r="AA19" s="11">
        <v>-1431.2</v>
      </c>
      <c r="AB19" s="11">
        <v>-1466.8</v>
      </c>
      <c r="AC19" s="11">
        <f>-1574.6+70</f>
        <v>-1504.6</v>
      </c>
      <c r="AD19" s="11">
        <f>-1437.2+40</f>
        <v>-1397.2</v>
      </c>
      <c r="AE19" s="11">
        <f>-1716.8+213.7</f>
        <v>-1503.1</v>
      </c>
      <c r="AF19" s="11">
        <f>-1955.9+244.7</f>
        <v>-1711.2</v>
      </c>
      <c r="AG19" s="11">
        <f>-1918.9</f>
        <v>-1918.9</v>
      </c>
      <c r="AH19" s="11">
        <f>-1840</f>
        <v>-1840</v>
      </c>
      <c r="AI19" s="11">
        <v>-1735.7</v>
      </c>
      <c r="AJ19" s="11">
        <v>-1731.6</v>
      </c>
    </row>
    <row r="20" spans="1:37" x14ac:dyDescent="0.25">
      <c r="A20" s="10" t="s">
        <v>40</v>
      </c>
      <c r="B20" s="11">
        <v>-48.8</v>
      </c>
      <c r="C20" s="11">
        <v>-97.1</v>
      </c>
      <c r="D20" s="11">
        <v>-49.6</v>
      </c>
      <c r="E20" s="11">
        <v>-67.099999999999994</v>
      </c>
      <c r="F20" s="11">
        <v>-60.3</v>
      </c>
      <c r="G20" s="11">
        <v>-77.400000000000006</v>
      </c>
      <c r="H20" s="11">
        <f>-47.4</f>
        <v>-47.4</v>
      </c>
      <c r="I20" s="12"/>
      <c r="J20" s="7"/>
      <c r="K20" s="7"/>
      <c r="L20" s="7"/>
      <c r="M20" s="7"/>
      <c r="N20" s="7">
        <f>D20-SUM(O20:Q20)</f>
        <v>-8</v>
      </c>
      <c r="O20" s="11">
        <v>-12.9</v>
      </c>
      <c r="P20" s="11">
        <v>-12.3</v>
      </c>
      <c r="Q20" s="7">
        <f>D20+33.2</f>
        <v>-16.399999999999999</v>
      </c>
      <c r="R20" s="11">
        <v>-11</v>
      </c>
      <c r="S20" s="11">
        <v>-19</v>
      </c>
      <c r="T20" s="11">
        <v>-16.5</v>
      </c>
      <c r="U20" s="7">
        <f>E20-SUM(R20:T20)</f>
        <v>-20.599999999999994</v>
      </c>
      <c r="V20" s="11">
        <v>-12.6</v>
      </c>
      <c r="W20" s="11">
        <v>-12.7</v>
      </c>
      <c r="X20" s="11">
        <v>-19.7</v>
      </c>
      <c r="Y20" s="11">
        <v>-15.2</v>
      </c>
      <c r="Z20" s="11">
        <v>-14</v>
      </c>
      <c r="AA20" s="11">
        <v>-27.7</v>
      </c>
      <c r="AB20" s="11">
        <v>-15.5</v>
      </c>
      <c r="AC20" s="11">
        <v>-20.100000000000001</v>
      </c>
      <c r="AD20" s="11">
        <v>-12.9</v>
      </c>
      <c r="AE20" s="11">
        <v>-5.9</v>
      </c>
      <c r="AF20" s="11">
        <f>-9.7</f>
        <v>-9.6999999999999993</v>
      </c>
      <c r="AG20" s="11">
        <f>-18.7</f>
        <v>-18.7</v>
      </c>
      <c r="AH20" s="11">
        <f>-14.5</f>
        <v>-14.5</v>
      </c>
      <c r="AI20" s="11">
        <v>-15.8</v>
      </c>
      <c r="AJ20" s="11">
        <v>-9.5</v>
      </c>
    </row>
    <row r="21" spans="1:37" x14ac:dyDescent="0.25">
      <c r="A21" s="10" t="s">
        <v>45</v>
      </c>
      <c r="B21" s="11">
        <v>-723.5</v>
      </c>
      <c r="C21" s="11">
        <v>-1223.3</v>
      </c>
      <c r="D21" s="11">
        <v>-1414.5</v>
      </c>
      <c r="E21" s="11">
        <f>-1848.7+(131.3+34.2)/3</f>
        <v>-1793.5333333333333</v>
      </c>
      <c r="F21" s="11">
        <v>-3427.9</v>
      </c>
      <c r="G21" s="11">
        <v>-4747.8999999999996</v>
      </c>
      <c r="H21" s="11">
        <f>-4474</f>
        <v>-4474</v>
      </c>
      <c r="I21" s="12"/>
      <c r="J21" s="7"/>
      <c r="K21" s="7"/>
      <c r="L21" s="7"/>
      <c r="M21" s="7"/>
      <c r="N21" s="7">
        <f>D21-SUM(O21:Q21)</f>
        <v>-242.5</v>
      </c>
      <c r="O21" s="11">
        <v>-309.5</v>
      </c>
      <c r="P21" s="11">
        <v>-377.3</v>
      </c>
      <c r="Q21" s="11">
        <f>D21+929.3</f>
        <v>-485.20000000000005</v>
      </c>
      <c r="R21" s="11">
        <v>-260.5</v>
      </c>
      <c r="S21" s="11">
        <f>-386.1+126.6/3</f>
        <v>-343.90000000000003</v>
      </c>
      <c r="T21" s="11">
        <v>-499.1</v>
      </c>
      <c r="U21" s="7">
        <f>E21-SUM(R21:T21)</f>
        <v>-690.0333333333333</v>
      </c>
      <c r="V21" s="11">
        <v>-790.7</v>
      </c>
      <c r="W21" s="11">
        <v>-824.1</v>
      </c>
      <c r="X21" s="11">
        <v>-780.3</v>
      </c>
      <c r="Y21" s="7">
        <f>F21-SUM(V21:X21)</f>
        <v>-1032.7999999999997</v>
      </c>
      <c r="Z21" s="11">
        <v>-1114.4000000000001</v>
      </c>
      <c r="AA21" s="11">
        <f>-1190.2</f>
        <v>-1190.2</v>
      </c>
      <c r="AB21" s="11">
        <v>-1149.7</v>
      </c>
      <c r="AC21" s="7">
        <f>G21-SUM(Z21:AB21)</f>
        <v>-1293.5999999999995</v>
      </c>
      <c r="AD21" s="11">
        <v>-1316.6</v>
      </c>
      <c r="AE21" s="11">
        <f>-1136.6</f>
        <v>-1136.5999999999999</v>
      </c>
      <c r="AF21" s="11">
        <f>-1018.4</f>
        <v>-1018.4</v>
      </c>
      <c r="AG21" s="7">
        <f>H21-SUM(AD21:AF21)</f>
        <v>-1002.4000000000001</v>
      </c>
      <c r="AH21" s="11">
        <f>-818.3</f>
        <v>-818.3</v>
      </c>
      <c r="AI21" s="11">
        <v>-781.9</v>
      </c>
      <c r="AJ21" s="11">
        <v>-717.4</v>
      </c>
    </row>
    <row r="22" spans="1:37" x14ac:dyDescent="0.25">
      <c r="A22" s="10" t="s">
        <v>46</v>
      </c>
      <c r="B22" s="11">
        <v>-191.9</v>
      </c>
      <c r="C22" s="11">
        <v>-270.10000000000002</v>
      </c>
      <c r="D22" s="11">
        <v>-333.8</v>
      </c>
      <c r="E22" s="11">
        <f>-428.8+(131.3+34.2)/3</f>
        <v>-373.63333333333333</v>
      </c>
      <c r="F22" s="11">
        <v>-573.9</v>
      </c>
      <c r="G22" s="11">
        <v>-630.9</v>
      </c>
      <c r="H22" s="11">
        <f>-416.3</f>
        <v>-416.3</v>
      </c>
      <c r="I22" s="12"/>
      <c r="J22" s="7"/>
      <c r="K22" s="7"/>
      <c r="L22" s="7"/>
      <c r="M22" s="7"/>
      <c r="N22" s="7">
        <f>D22-SUM(O22:Q22)</f>
        <v>-73.199999999999989</v>
      </c>
      <c r="O22" s="11">
        <v>-77.2</v>
      </c>
      <c r="P22" s="11">
        <v>-88.1</v>
      </c>
      <c r="Q22" s="11">
        <f>D22+238.5</f>
        <v>-95.300000000000011</v>
      </c>
      <c r="R22" s="11">
        <v>-86.9</v>
      </c>
      <c r="S22" s="11">
        <f>-128.6+126.6/3</f>
        <v>-86.4</v>
      </c>
      <c r="T22" s="11">
        <v>-103.1</v>
      </c>
      <c r="U22" s="7">
        <f>E22-SUM(R22:T22)</f>
        <v>-97.233333333333348</v>
      </c>
      <c r="V22" s="11">
        <v>-124.1</v>
      </c>
      <c r="W22" s="11">
        <v>-132.30000000000001</v>
      </c>
      <c r="X22" s="11">
        <v>-148</v>
      </c>
      <c r="Y22" s="7">
        <f>F22-SUM(V22:X22)</f>
        <v>-169.5</v>
      </c>
      <c r="Z22" s="11">
        <v>-164.6</v>
      </c>
      <c r="AA22" s="11">
        <v>-160</v>
      </c>
      <c r="AB22" s="11">
        <v>-180.5</v>
      </c>
      <c r="AC22" s="7">
        <f>G22-SUM(Z22:AB22)</f>
        <v>-125.79999999999995</v>
      </c>
      <c r="AD22" s="11">
        <v>-128.69999999999999</v>
      </c>
      <c r="AE22" s="11">
        <f>-101.9</f>
        <v>-101.9</v>
      </c>
      <c r="AF22" s="11">
        <f>-94</f>
        <v>-94</v>
      </c>
      <c r="AG22" s="7">
        <f>H22-SUM(AD22:AF22)</f>
        <v>-91.699999999999989</v>
      </c>
      <c r="AH22" s="11">
        <f>-94.1</f>
        <v>-94.1</v>
      </c>
      <c r="AI22" s="11">
        <v>-85.3</v>
      </c>
      <c r="AJ22" s="11">
        <v>-90.3</v>
      </c>
    </row>
    <row r="23" spans="1:37" x14ac:dyDescent="0.25">
      <c r="A23" s="10" t="s">
        <v>47</v>
      </c>
      <c r="B23" s="11">
        <v>-249.1</v>
      </c>
      <c r="C23" s="11">
        <v>-282.5</v>
      </c>
      <c r="D23" s="11">
        <v>-281.3</v>
      </c>
      <c r="E23" s="11">
        <f>-498.8+(131.3+34.2)/3</f>
        <v>-443.63333333333333</v>
      </c>
      <c r="F23" s="11">
        <v>-400.3</v>
      </c>
      <c r="G23" s="11">
        <v>-408.7</v>
      </c>
      <c r="H23" s="11">
        <f>-252.8</f>
        <v>-252.8</v>
      </c>
      <c r="I23" s="12"/>
      <c r="J23" s="7"/>
      <c r="K23" s="7"/>
      <c r="L23" s="7"/>
      <c r="M23" s="7"/>
      <c r="N23" s="7">
        <f>D23-SUM(O23:Q23)</f>
        <v>-64.5</v>
      </c>
      <c r="O23" s="11">
        <v>-73.099999999999994</v>
      </c>
      <c r="P23" s="11">
        <v>-73</v>
      </c>
      <c r="Q23" s="11">
        <f>D23+210.6</f>
        <v>-70.700000000000017</v>
      </c>
      <c r="R23" s="11">
        <v>-99.5</v>
      </c>
      <c r="S23" s="11">
        <f>-164.8+126.6/3</f>
        <v>-122.60000000000002</v>
      </c>
      <c r="T23" s="11">
        <v>-121.1</v>
      </c>
      <c r="U23" s="7">
        <f>E23-SUM(R23:T23)</f>
        <v>-100.43333333333328</v>
      </c>
      <c r="V23" s="11">
        <v>-102.7</v>
      </c>
      <c r="W23" s="11">
        <v>-100.1</v>
      </c>
      <c r="X23" s="11">
        <v>-98.5</v>
      </c>
      <c r="Y23" s="7">
        <f>F23-SUM(V23:X23)</f>
        <v>-99</v>
      </c>
      <c r="Z23" s="11">
        <v>-100.8</v>
      </c>
      <c r="AA23" s="11">
        <v>-99.9</v>
      </c>
      <c r="AB23" s="11">
        <v>-107</v>
      </c>
      <c r="AC23" s="7">
        <f>G23-SUM(Z23:AB23)</f>
        <v>-101</v>
      </c>
      <c r="AD23" s="11">
        <v>-78.5</v>
      </c>
      <c r="AE23" s="11">
        <f>-56.4</f>
        <v>-56.4</v>
      </c>
      <c r="AF23" s="11">
        <f>-29</f>
        <v>-29</v>
      </c>
      <c r="AG23" s="7">
        <f>H23-SUM(AD23:AF23)</f>
        <v>-88.9</v>
      </c>
      <c r="AH23" s="11">
        <f>-50.6</f>
        <v>-50.6</v>
      </c>
      <c r="AI23" s="11">
        <v>-48.1</v>
      </c>
      <c r="AJ23" s="11">
        <f>-107.7-AJ36</f>
        <v>-47.7</v>
      </c>
    </row>
    <row r="24" spans="1:37" x14ac:dyDescent="0.25">
      <c r="A24" s="34" t="s">
        <v>148</v>
      </c>
      <c r="B24" s="34">
        <f t="shared" ref="B24:H24" si="29">+B9+B19+B21+B22+B23+B20</f>
        <v>-1587.9999999999998</v>
      </c>
      <c r="C24" s="34">
        <f t="shared" si="29"/>
        <v>-1995.1999999999998</v>
      </c>
      <c r="D24" s="34">
        <f t="shared" si="29"/>
        <v>-1825.3999999999996</v>
      </c>
      <c r="E24" s="34">
        <f t="shared" si="29"/>
        <v>-1659.3000000000002</v>
      </c>
      <c r="F24" s="34">
        <f t="shared" si="29"/>
        <v>-2735.3000000000011</v>
      </c>
      <c r="G24" s="34">
        <f t="shared" si="29"/>
        <v>-2239.3999999999996</v>
      </c>
      <c r="H24" s="34">
        <f t="shared" si="29"/>
        <v>-1214.6999999999998</v>
      </c>
      <c r="I24" s="12"/>
      <c r="J24" s="34"/>
      <c r="K24" s="34"/>
      <c r="L24" s="34"/>
      <c r="M24" s="34"/>
      <c r="N24" s="34">
        <f t="shared" ref="N24:AJ24" si="30">+N9+N19+N21+N22+N23+N20</f>
        <v>-351.2</v>
      </c>
      <c r="O24" s="34">
        <f t="shared" si="30"/>
        <v>-403.19999999999993</v>
      </c>
      <c r="P24" s="34">
        <f t="shared" si="30"/>
        <v>-506.49999999999994</v>
      </c>
      <c r="Q24" s="34">
        <f t="shared" si="30"/>
        <v>-564.50000000000011</v>
      </c>
      <c r="R24" s="34">
        <f t="shared" si="30"/>
        <v>-324.10000000000002</v>
      </c>
      <c r="S24" s="34">
        <f t="shared" si="30"/>
        <v>-349.09999999999991</v>
      </c>
      <c r="T24" s="34">
        <f t="shared" si="30"/>
        <v>-456.5</v>
      </c>
      <c r="U24" s="34">
        <f t="shared" si="30"/>
        <v>-529.80000000000018</v>
      </c>
      <c r="V24" s="34">
        <f t="shared" si="30"/>
        <v>-752.40000000000032</v>
      </c>
      <c r="W24" s="34">
        <f t="shared" si="30"/>
        <v>-731.10000000000025</v>
      </c>
      <c r="X24" s="34">
        <f t="shared" si="30"/>
        <v>-595.59999999999991</v>
      </c>
      <c r="Y24" s="34">
        <f t="shared" si="30"/>
        <v>-656.29999999999973</v>
      </c>
      <c r="Z24" s="34">
        <f t="shared" si="30"/>
        <v>-638.80000000000007</v>
      </c>
      <c r="AA24" s="34">
        <f t="shared" si="30"/>
        <v>-628.00000000000011</v>
      </c>
      <c r="AB24" s="34">
        <f t="shared" si="30"/>
        <v>-539.5</v>
      </c>
      <c r="AC24" s="34">
        <f t="shared" si="30"/>
        <v>-433.19999999999925</v>
      </c>
      <c r="AD24" s="34">
        <f t="shared" si="30"/>
        <v>-398.50000000000028</v>
      </c>
      <c r="AE24" s="34">
        <f t="shared" si="30"/>
        <v>-207.10000000000011</v>
      </c>
      <c r="AF24" s="34">
        <f t="shared" si="30"/>
        <v>-240.60000000000019</v>
      </c>
      <c r="AG24" s="34">
        <f t="shared" si="30"/>
        <v>-368.50000000000028</v>
      </c>
      <c r="AH24" s="34">
        <f t="shared" si="30"/>
        <v>-365.80000000000018</v>
      </c>
      <c r="AI24" s="34">
        <f t="shared" si="30"/>
        <v>-316.89299999999992</v>
      </c>
      <c r="AJ24" s="34">
        <f t="shared" si="30"/>
        <v>-167.0999999999998</v>
      </c>
      <c r="AK24" s="34"/>
    </row>
    <row r="25" spans="1:37" s="36" customFormat="1" x14ac:dyDescent="0.25">
      <c r="A25" s="35" t="s">
        <v>50</v>
      </c>
      <c r="B25" s="32">
        <f>B24/B$9</f>
        <v>-1.30388373429674</v>
      </c>
      <c r="C25" s="32">
        <f t="shared" ref="C25:H25" si="31">C24/C$9</f>
        <v>-1.0381393412768614</v>
      </c>
      <c r="D25" s="32">
        <f t="shared" si="31"/>
        <v>-0.58891469867079604</v>
      </c>
      <c r="E25" s="32">
        <f t="shared" si="31"/>
        <v>-0.28908169131866412</v>
      </c>
      <c r="F25" s="32">
        <f t="shared" si="31"/>
        <v>-0.39837173400134007</v>
      </c>
      <c r="G25" s="32">
        <f t="shared" si="31"/>
        <v>-0.2408345432058934</v>
      </c>
      <c r="H25" s="32">
        <f t="shared" si="31"/>
        <v>-0.11561854541647232</v>
      </c>
      <c r="I25" s="32"/>
      <c r="J25" s="32"/>
      <c r="K25" s="32"/>
      <c r="L25" s="32"/>
      <c r="M25" s="32"/>
      <c r="N25" s="32">
        <f t="shared" ref="N25" si="32">N24/N$9</f>
        <v>-0.66691986327383224</v>
      </c>
      <c r="O25" s="32">
        <f t="shared" ref="O25" si="33">O24/O$9</f>
        <v>-0.58852722230331322</v>
      </c>
      <c r="P25" s="32">
        <f t="shared" ref="P25" si="34">P24/P$9</f>
        <v>-0.72202423378474689</v>
      </c>
      <c r="Q25" s="32">
        <f t="shared" ref="Q25" si="35">Q24/Q$9</f>
        <v>-0.47580917060013495</v>
      </c>
      <c r="R25" s="32">
        <f t="shared" ref="R25" si="36">R24/R$9</f>
        <v>-0.29477035015916325</v>
      </c>
      <c r="S25" s="32">
        <f t="shared" ref="S25" si="37">S24/S$9</f>
        <v>-0.26388993877088207</v>
      </c>
      <c r="T25" s="32">
        <f t="shared" ref="T25" si="38">T24/T$9</f>
        <v>-0.35077608729061011</v>
      </c>
      <c r="U25" s="32">
        <f t="shared" ref="U25" si="39">U24/U$9</f>
        <v>-0.26281065529044112</v>
      </c>
      <c r="V25" s="32">
        <f t="shared" ref="V25" si="40">V24/V$9</f>
        <v>-0.44983857467416022</v>
      </c>
      <c r="W25" s="32">
        <f t="shared" ref="W25" si="41">W24/W$9</f>
        <v>-0.49582909460834196</v>
      </c>
      <c r="X25" s="32">
        <f t="shared" ref="X25" si="42">X24/X$9</f>
        <v>-0.35313648760820576</v>
      </c>
      <c r="Y25" s="32">
        <f t="shared" ref="Y25" si="43">Y24/Y$9</f>
        <v>-0.32298228346456681</v>
      </c>
      <c r="Z25" s="32">
        <f t="shared" ref="Z25" si="44">Z24/Z$9</f>
        <v>-0.31542563697412601</v>
      </c>
      <c r="AA25" s="32">
        <f t="shared" ref="AA25" si="45">AA24/AA$9</f>
        <v>-0.27531784305129336</v>
      </c>
      <c r="AB25" s="32">
        <f t="shared" ref="AB25" si="46">AB24/AB$9</f>
        <v>-0.22668067226890756</v>
      </c>
      <c r="AC25" s="32">
        <f t="shared" ref="AC25" si="47">AC24/AC$9</f>
        <v>-0.1658562732110721</v>
      </c>
      <c r="AD25" s="32">
        <f t="shared" ref="AD25" si="48">AD24/AD$9</f>
        <v>-0.1571744103494519</v>
      </c>
      <c r="AE25" s="32">
        <f t="shared" ref="AE25" si="49">AE24/AE$9</f>
        <v>-7.9752002464571828E-2</v>
      </c>
      <c r="AF25" s="32">
        <f t="shared" ref="AF25" si="50">AF24/AF$9</f>
        <v>-9.1772514017622236E-2</v>
      </c>
      <c r="AG25" s="32">
        <f t="shared" ref="AG25" si="51">AG24/AG$9</f>
        <v>-0.13389775080847363</v>
      </c>
      <c r="AH25" s="32">
        <f t="shared" ref="AH25" si="52">AH24/AH$9</f>
        <v>-0.14920259411836692</v>
      </c>
      <c r="AI25" s="32">
        <f t="shared" ref="AI25" si="53">AI24/AI$9</f>
        <v>-0.13485342185882246</v>
      </c>
      <c r="AJ25" s="32">
        <f t="shared" ref="AJ25" si="54">AJ24/AJ$9</f>
        <v>-6.8782415411212564E-2</v>
      </c>
      <c r="AK25" s="32"/>
    </row>
    <row r="26" spans="1:37" x14ac:dyDescent="0.25">
      <c r="A26" s="12"/>
      <c r="B26" s="12"/>
      <c r="C26" s="12"/>
      <c r="D26" s="12"/>
      <c r="E26" s="12"/>
      <c r="F26" s="12"/>
      <c r="G26" s="12"/>
      <c r="H26" s="12"/>
      <c r="I26" s="12"/>
      <c r="J26" s="12"/>
      <c r="K26" s="12"/>
      <c r="L26" s="12"/>
      <c r="M26" s="12"/>
      <c r="N26" s="12"/>
      <c r="O26" s="12"/>
      <c r="P26" s="12"/>
      <c r="Q26" s="7"/>
      <c r="R26" s="12"/>
      <c r="S26" s="12"/>
      <c r="T26" s="12"/>
      <c r="U26" s="7"/>
      <c r="V26" s="12"/>
      <c r="W26" s="12"/>
      <c r="X26" s="12"/>
      <c r="Y26" s="12"/>
      <c r="Z26" s="12"/>
      <c r="AA26" s="12"/>
      <c r="AB26" s="12"/>
      <c r="AC26" s="12"/>
      <c r="AD26" s="12"/>
      <c r="AE26" s="12"/>
      <c r="AF26" s="12"/>
      <c r="AG26" s="12"/>
      <c r="AH26" s="12"/>
      <c r="AI26" s="12"/>
      <c r="AJ26" s="12"/>
    </row>
    <row r="27" spans="1:37" hidden="1" outlineLevel="1" x14ac:dyDescent="0.25">
      <c r="A27" s="12" t="s">
        <v>51</v>
      </c>
      <c r="B27" s="11">
        <f>31.4+(-4.2+22.8)</f>
        <v>50</v>
      </c>
      <c r="C27" s="11">
        <f>53.1+(7.1+13.4)</f>
        <v>73.599999999999994</v>
      </c>
      <c r="D27" s="11">
        <f>84.2-13.3</f>
        <v>70.900000000000006</v>
      </c>
      <c r="E27" s="11">
        <v>65.5</v>
      </c>
      <c r="F27" s="11">
        <v>109.8</v>
      </c>
      <c r="G27" s="11">
        <v>117.6</v>
      </c>
      <c r="H27" s="11">
        <v>146.69999999999999</v>
      </c>
      <c r="I27" s="12"/>
      <c r="J27" s="7"/>
      <c r="K27" s="7"/>
      <c r="L27" s="7"/>
      <c r="M27" s="7"/>
      <c r="N27" s="7">
        <f>D27-SUM(O27:Q27)</f>
        <v>24.099999999999994</v>
      </c>
      <c r="O27" s="11">
        <v>21.8</v>
      </c>
      <c r="P27" s="11">
        <v>23.6</v>
      </c>
      <c r="Q27" s="7">
        <f>D27-69.5</f>
        <v>1.4000000000000057</v>
      </c>
      <c r="R27" s="11">
        <v>12.4</v>
      </c>
      <c r="S27" s="11">
        <v>15.2</v>
      </c>
      <c r="T27" s="11">
        <v>18.7</v>
      </c>
      <c r="U27" s="7">
        <f>E27-SUM(R27:T27)</f>
        <v>19.200000000000003</v>
      </c>
      <c r="V27" s="11">
        <f>35.5-0.2</f>
        <v>35.299999999999997</v>
      </c>
      <c r="W27" s="11">
        <f>29.1-1</f>
        <v>28.1</v>
      </c>
      <c r="X27" s="11">
        <v>24.7</v>
      </c>
      <c r="Y27" s="7">
        <f>F27-SUM(V27:X27)</f>
        <v>21.700000000000003</v>
      </c>
      <c r="Z27" s="11">
        <f>14.1+6.9</f>
        <v>21</v>
      </c>
      <c r="AA27" s="11">
        <v>30</v>
      </c>
      <c r="AB27" s="11">
        <v>33.299999999999997</v>
      </c>
      <c r="AC27" s="7">
        <f>G27-SUM(Z27:AB27)</f>
        <v>33.299999999999997</v>
      </c>
      <c r="AD27" s="11">
        <v>35.1</v>
      </c>
      <c r="AE27" s="11">
        <v>37.299999999999997</v>
      </c>
      <c r="AF27" s="11">
        <v>43.2</v>
      </c>
      <c r="AG27" s="7">
        <f>H27-SUM(AD27:AF27)</f>
        <v>31.09999999999998</v>
      </c>
      <c r="AH27" s="11">
        <v>34.799999999999997</v>
      </c>
      <c r="AI27" s="11">
        <v>22.1</v>
      </c>
      <c r="AJ27" s="11">
        <v>27.3</v>
      </c>
    </row>
    <row r="28" spans="1:37" hidden="1" outlineLevel="1" x14ac:dyDescent="0.25">
      <c r="A28" s="12" t="s">
        <v>52</v>
      </c>
      <c r="B28" s="11">
        <v>-8.9</v>
      </c>
      <c r="C28" s="11">
        <v>-3.1</v>
      </c>
      <c r="D28" s="11">
        <v>0</v>
      </c>
      <c r="E28" s="11">
        <v>-11.8</v>
      </c>
      <c r="F28" s="11">
        <v>-13.8</v>
      </c>
      <c r="G28" s="11">
        <v>-10.9</v>
      </c>
      <c r="H28" s="11">
        <f>-0.8</f>
        <v>-0.8</v>
      </c>
      <c r="I28" s="12"/>
      <c r="J28" s="7"/>
      <c r="K28" s="7"/>
      <c r="L28" s="7"/>
      <c r="M28" s="7"/>
      <c r="N28" s="7">
        <f>D28-SUM(O28:Q28)</f>
        <v>0</v>
      </c>
      <c r="O28" s="11">
        <v>0</v>
      </c>
      <c r="P28" s="11">
        <v>0</v>
      </c>
      <c r="Q28" s="7">
        <f>D28-0</f>
        <v>0</v>
      </c>
      <c r="R28" s="11">
        <v>-0.4</v>
      </c>
      <c r="S28" s="11">
        <v>-2.1</v>
      </c>
      <c r="T28" s="11">
        <v>-4</v>
      </c>
      <c r="U28" s="7">
        <f>E28-SUM(R28:T28)</f>
        <v>-5.3000000000000007</v>
      </c>
      <c r="V28" s="11">
        <v>-5.3</v>
      </c>
      <c r="W28" s="11">
        <v>-4</v>
      </c>
      <c r="X28" s="11">
        <v>-2.9</v>
      </c>
      <c r="Y28" s="7">
        <f>F28-SUM(V28:X28)</f>
        <v>-1.5999999999999996</v>
      </c>
      <c r="Z28" s="11">
        <v>-0.8</v>
      </c>
      <c r="AA28" s="11">
        <v>-1.3</v>
      </c>
      <c r="AB28" s="11">
        <v>-3.2</v>
      </c>
      <c r="AC28" s="7">
        <f>G28-SUM(Z28:AB28)</f>
        <v>-5.6</v>
      </c>
      <c r="AD28" s="11">
        <v>-0.4</v>
      </c>
      <c r="AE28" s="11">
        <f>-0.3</f>
        <v>-0.3</v>
      </c>
      <c r="AF28" s="11">
        <v>0</v>
      </c>
      <c r="AG28" s="7">
        <f>H28-SUM(AD28:AF28)</f>
        <v>-0.10000000000000009</v>
      </c>
      <c r="AH28" s="11">
        <v>0</v>
      </c>
      <c r="AI28" s="11">
        <v>0</v>
      </c>
      <c r="AJ28" s="11">
        <v>0</v>
      </c>
    </row>
    <row r="29" spans="1:37" hidden="1" outlineLevel="1" x14ac:dyDescent="0.25">
      <c r="A29" s="12" t="s">
        <v>53</v>
      </c>
      <c r="B29" s="11">
        <v>1.4</v>
      </c>
      <c r="C29" s="11">
        <v>18.8</v>
      </c>
      <c r="D29" s="11">
        <v>75.8</v>
      </c>
      <c r="E29" s="11">
        <v>60.7</v>
      </c>
      <c r="F29" s="11">
        <v>156.69999999999999</v>
      </c>
      <c r="G29" s="11">
        <v>120.9</v>
      </c>
      <c r="H29" s="11">
        <v>63.8</v>
      </c>
      <c r="I29" s="15" t="s">
        <v>54</v>
      </c>
      <c r="J29" s="7"/>
      <c r="K29" s="7"/>
      <c r="L29" s="7"/>
      <c r="M29" s="7"/>
      <c r="N29" s="7">
        <f>D29-SUM(O29:Q29)</f>
        <v>1.0999999999999943</v>
      </c>
      <c r="O29" s="11">
        <v>63.2</v>
      </c>
      <c r="P29" s="11">
        <v>5.8</v>
      </c>
      <c r="Q29" s="7">
        <f>D29-70.1</f>
        <v>5.7000000000000028</v>
      </c>
      <c r="R29" s="11">
        <v>31.4</v>
      </c>
      <c r="S29" s="11">
        <v>3.8</v>
      </c>
      <c r="T29" s="11">
        <v>6.6</v>
      </c>
      <c r="U29" s="7">
        <f>E29-SUM(R29:T29)</f>
        <v>18.900000000000006</v>
      </c>
      <c r="V29" s="11">
        <v>11</v>
      </c>
      <c r="W29" s="11">
        <v>65.400000000000006</v>
      </c>
      <c r="X29" s="11">
        <v>29.7</v>
      </c>
      <c r="Y29" s="7">
        <f>F29-SUM(V29:X29)</f>
        <v>50.59999999999998</v>
      </c>
      <c r="Z29" s="11">
        <v>13.2</v>
      </c>
      <c r="AA29" s="11">
        <v>19.399999999999999</v>
      </c>
      <c r="AB29" s="11">
        <v>53.9</v>
      </c>
      <c r="AC29" s="7">
        <f>G29-SUM(Z29:AB29)</f>
        <v>34.400000000000006</v>
      </c>
      <c r="AD29" s="11">
        <v>12.3</v>
      </c>
      <c r="AE29" s="11">
        <v>10.199999999999999</v>
      </c>
      <c r="AF29" s="11">
        <v>30.3</v>
      </c>
      <c r="AG29" s="7">
        <f>H29-SUM(AD29:AF29)</f>
        <v>11</v>
      </c>
      <c r="AH29" s="11">
        <f>0.8</f>
        <v>0.8</v>
      </c>
      <c r="AI29" s="11">
        <v>6.6</v>
      </c>
      <c r="AJ29" s="11">
        <v>0.4</v>
      </c>
    </row>
    <row r="30" spans="1:37" hidden="1" outlineLevel="1" x14ac:dyDescent="0.25">
      <c r="A30" s="34" t="s">
        <v>55</v>
      </c>
      <c r="B30" s="34">
        <f>SUM(B27:B29,B24)</f>
        <v>-1545.4999999999998</v>
      </c>
      <c r="C30" s="34">
        <f t="shared" ref="C30:H30" si="55">SUM(C27:C29,C24)</f>
        <v>-1905.8999999999999</v>
      </c>
      <c r="D30" s="34">
        <f t="shared" si="55"/>
        <v>-1678.6999999999996</v>
      </c>
      <c r="E30" s="34">
        <f t="shared" si="55"/>
        <v>-1544.9</v>
      </c>
      <c r="F30" s="34">
        <f t="shared" si="55"/>
        <v>-2482.6000000000013</v>
      </c>
      <c r="G30" s="34">
        <f t="shared" si="55"/>
        <v>-2011.7999999999997</v>
      </c>
      <c r="H30" s="34">
        <f t="shared" si="55"/>
        <v>-1004.9999999999998</v>
      </c>
      <c r="I30" s="12"/>
      <c r="J30" s="34"/>
      <c r="K30" s="34"/>
      <c r="L30" s="34"/>
      <c r="M30" s="34"/>
      <c r="N30" s="34">
        <f t="shared" ref="N30" si="56">SUM(N27:N29,N24)</f>
        <v>-326</v>
      </c>
      <c r="O30" s="34">
        <f t="shared" ref="O30" si="57">SUM(O27:O29,O24)</f>
        <v>-318.19999999999993</v>
      </c>
      <c r="P30" s="34">
        <f t="shared" ref="P30" si="58">SUM(P27:P29,P24)</f>
        <v>-477.09999999999997</v>
      </c>
      <c r="Q30" s="34">
        <f t="shared" ref="Q30" si="59">SUM(Q27:Q29,Q24)</f>
        <v>-557.40000000000009</v>
      </c>
      <c r="R30" s="34">
        <f t="shared" ref="R30" si="60">SUM(R27:R29,R24)</f>
        <v>-280.70000000000005</v>
      </c>
      <c r="S30" s="34">
        <f t="shared" ref="S30" si="61">SUM(S27:S29,S24)</f>
        <v>-332.19999999999993</v>
      </c>
      <c r="T30" s="34">
        <f t="shared" ref="T30" si="62">SUM(T27:T29,T24)</f>
        <v>-435.2</v>
      </c>
      <c r="U30" s="34">
        <f t="shared" ref="U30" si="63">SUM(U27:U29,U24)</f>
        <v>-497.00000000000017</v>
      </c>
      <c r="V30" s="34">
        <f t="shared" ref="V30" si="64">SUM(V27:V29,V24)</f>
        <v>-711.40000000000032</v>
      </c>
      <c r="W30" s="34">
        <f t="shared" ref="W30" si="65">SUM(W27:W29,W24)</f>
        <v>-641.60000000000025</v>
      </c>
      <c r="X30" s="34">
        <f t="shared" ref="X30" si="66">SUM(X27:X29,X24)</f>
        <v>-544.09999999999991</v>
      </c>
      <c r="Y30" s="34">
        <f t="shared" ref="Y30" si="67">SUM(Y27:Y29,Y24)</f>
        <v>-585.59999999999968</v>
      </c>
      <c r="Z30" s="34">
        <f t="shared" ref="Z30" si="68">SUM(Z27:Z29,Z24)</f>
        <v>-605.40000000000009</v>
      </c>
      <c r="AA30" s="34">
        <f t="shared" ref="AA30" si="69">SUM(AA27:AA29,AA24)</f>
        <v>-579.90000000000009</v>
      </c>
      <c r="AB30" s="34">
        <f t="shared" ref="AB30" si="70">SUM(AB27:AB29,AB24)</f>
        <v>-455.5</v>
      </c>
      <c r="AC30" s="34">
        <f t="shared" ref="AC30" si="71">SUM(AC27:AC29,AC24)</f>
        <v>-371.09999999999923</v>
      </c>
      <c r="AD30" s="34">
        <f t="shared" ref="AD30" si="72">SUM(AD27:AD29,AD24)</f>
        <v>-351.50000000000028</v>
      </c>
      <c r="AE30" s="34">
        <f t="shared" ref="AE30" si="73">SUM(AE27:AE29,AE24)</f>
        <v>-159.90000000000009</v>
      </c>
      <c r="AF30" s="34">
        <f t="shared" ref="AF30" si="74">SUM(AF27:AF29,AF24)</f>
        <v>-167.10000000000019</v>
      </c>
      <c r="AG30" s="34">
        <f t="shared" ref="AG30" si="75">SUM(AG27:AG29,AG24)</f>
        <v>-326.50000000000028</v>
      </c>
      <c r="AH30" s="34">
        <f t="shared" ref="AH30" si="76">SUM(AH27:AH29,AH24)</f>
        <v>-330.20000000000016</v>
      </c>
      <c r="AI30" s="34">
        <f t="shared" ref="AI30" si="77">SUM(AI27:AI29,AI24)</f>
        <v>-288.19299999999993</v>
      </c>
      <c r="AJ30" s="34">
        <f t="shared" ref="AJ30" si="78">SUM(AJ27:AJ29,AJ24)</f>
        <v>-139.39999999999981</v>
      </c>
      <c r="AK30" s="34"/>
    </row>
    <row r="31" spans="1:37" hidden="1" outlineLevel="1" x14ac:dyDescent="0.25">
      <c r="A31" s="12" t="s">
        <v>56</v>
      </c>
      <c r="B31" s="11">
        <v>14.1</v>
      </c>
      <c r="C31" s="11">
        <v>27.4</v>
      </c>
      <c r="D31" s="11">
        <v>9</v>
      </c>
      <c r="E31" s="11">
        <v>5.0999999999999996</v>
      </c>
      <c r="F31" s="11">
        <v>11.5</v>
      </c>
      <c r="G31" s="11">
        <v>4.8</v>
      </c>
      <c r="H31" s="11">
        <v>5</v>
      </c>
      <c r="I31" s="12"/>
      <c r="J31" s="7"/>
      <c r="K31" s="7"/>
      <c r="L31" s="7"/>
      <c r="M31" s="7"/>
      <c r="N31" s="7">
        <f>D31-SUM(O31:Q31)</f>
        <v>2.2999999999999998</v>
      </c>
      <c r="O31" s="11">
        <v>2.2000000000000002</v>
      </c>
      <c r="P31" s="11">
        <v>2.2000000000000002</v>
      </c>
      <c r="Q31" s="7">
        <f>D31-6.7</f>
        <v>2.2999999999999998</v>
      </c>
      <c r="R31" s="11">
        <v>1.3</v>
      </c>
      <c r="S31" s="11">
        <v>1.2</v>
      </c>
      <c r="T31" s="11">
        <v>1.2</v>
      </c>
      <c r="U31" s="7">
        <f>E31-SUM(R31:T31)</f>
        <v>1.3999999999999995</v>
      </c>
      <c r="V31" s="11">
        <v>1.2</v>
      </c>
      <c r="W31" s="11">
        <v>1.2</v>
      </c>
      <c r="X31" s="11">
        <v>1.2</v>
      </c>
      <c r="Y31" s="7">
        <f>F31-SUM(V31:X31)</f>
        <v>7.9</v>
      </c>
      <c r="Z31" s="11">
        <v>1.2</v>
      </c>
      <c r="AA31" s="11">
        <v>1.2</v>
      </c>
      <c r="AB31" s="11">
        <v>1</v>
      </c>
      <c r="AC31" s="7">
        <f>G31-SUM(Z31:AB31)</f>
        <v>1.4</v>
      </c>
      <c r="AD31" s="11">
        <v>1.2</v>
      </c>
      <c r="AE31" s="11">
        <v>1.2</v>
      </c>
      <c r="AF31" s="11">
        <v>1.2</v>
      </c>
      <c r="AG31" s="7">
        <f>H31-SUM(AD31:AF31)</f>
        <v>1.4000000000000004</v>
      </c>
      <c r="AH31" s="11">
        <v>2</v>
      </c>
      <c r="AI31" s="11">
        <v>2</v>
      </c>
      <c r="AJ31" s="11">
        <v>2</v>
      </c>
    </row>
    <row r="32" spans="1:37" hidden="1" outlineLevel="1" x14ac:dyDescent="0.25">
      <c r="A32" s="12" t="s">
        <v>57</v>
      </c>
      <c r="B32" s="12"/>
      <c r="C32" s="11"/>
      <c r="D32" s="11"/>
      <c r="E32" s="11"/>
      <c r="F32" s="11"/>
      <c r="G32" s="11"/>
      <c r="H32" s="11"/>
      <c r="I32" s="15"/>
      <c r="J32" s="11"/>
      <c r="K32" s="11"/>
      <c r="L32" s="11"/>
      <c r="M32" s="11"/>
      <c r="N32" s="11"/>
      <c r="O32" s="11"/>
      <c r="P32" s="11"/>
      <c r="Q32" s="7"/>
      <c r="R32" s="11"/>
      <c r="S32" s="11"/>
      <c r="T32" s="11"/>
      <c r="U32" s="7"/>
      <c r="V32" s="11"/>
      <c r="W32" s="11"/>
      <c r="X32" s="11"/>
      <c r="Y32" s="11"/>
      <c r="Z32" s="11"/>
      <c r="AA32" s="11"/>
      <c r="AB32" s="11"/>
      <c r="AC32" s="11"/>
      <c r="AD32" s="11"/>
      <c r="AE32" s="11"/>
      <c r="AF32" s="11"/>
      <c r="AG32" s="11"/>
      <c r="AH32" s="11"/>
      <c r="AI32" s="11"/>
      <c r="AJ32" s="11"/>
    </row>
    <row r="33" spans="1:39" hidden="1" outlineLevel="1" x14ac:dyDescent="0.25">
      <c r="A33" s="34" t="s">
        <v>58</v>
      </c>
      <c r="B33" s="34">
        <f t="shared" ref="B33:H33" si="79">SUM(B30:B32)</f>
        <v>-1531.3999999999999</v>
      </c>
      <c r="C33" s="34">
        <f t="shared" si="79"/>
        <v>-1878.4999999999998</v>
      </c>
      <c r="D33" s="34">
        <f t="shared" si="79"/>
        <v>-1669.6999999999996</v>
      </c>
      <c r="E33" s="34">
        <f t="shared" si="79"/>
        <v>-1539.8000000000002</v>
      </c>
      <c r="F33" s="34">
        <f t="shared" si="79"/>
        <v>-2471.1000000000013</v>
      </c>
      <c r="G33" s="34">
        <f t="shared" si="79"/>
        <v>-2006.9999999999998</v>
      </c>
      <c r="H33" s="34">
        <f t="shared" si="79"/>
        <v>-999.99999999999977</v>
      </c>
      <c r="I33" s="12"/>
      <c r="J33" s="34"/>
      <c r="K33" s="34"/>
      <c r="L33" s="34"/>
      <c r="M33" s="34"/>
      <c r="N33" s="34">
        <f t="shared" ref="N33:AJ33" si="80">SUM(N30:N32)</f>
        <v>-323.7</v>
      </c>
      <c r="O33" s="34">
        <f t="shared" si="80"/>
        <v>-315.99999999999994</v>
      </c>
      <c r="P33" s="34">
        <f t="shared" si="80"/>
        <v>-474.9</v>
      </c>
      <c r="Q33" s="34">
        <f t="shared" si="80"/>
        <v>-555.10000000000014</v>
      </c>
      <c r="R33" s="34">
        <f t="shared" si="80"/>
        <v>-279.40000000000003</v>
      </c>
      <c r="S33" s="34">
        <f t="shared" si="80"/>
        <v>-330.99999999999994</v>
      </c>
      <c r="T33" s="34">
        <f t="shared" si="80"/>
        <v>-434</v>
      </c>
      <c r="U33" s="34">
        <f t="shared" si="80"/>
        <v>-495.60000000000019</v>
      </c>
      <c r="V33" s="34">
        <f t="shared" si="80"/>
        <v>-710.20000000000027</v>
      </c>
      <c r="W33" s="34">
        <f t="shared" si="80"/>
        <v>-640.4000000000002</v>
      </c>
      <c r="X33" s="34">
        <f t="shared" si="80"/>
        <v>-542.89999999999986</v>
      </c>
      <c r="Y33" s="34">
        <f t="shared" si="80"/>
        <v>-577.6999999999997</v>
      </c>
      <c r="Z33" s="34">
        <f t="shared" si="80"/>
        <v>-604.20000000000005</v>
      </c>
      <c r="AA33" s="34">
        <f t="shared" si="80"/>
        <v>-578.70000000000005</v>
      </c>
      <c r="AB33" s="34">
        <f t="shared" si="80"/>
        <v>-454.5</v>
      </c>
      <c r="AC33" s="34">
        <f t="shared" si="80"/>
        <v>-369.69999999999925</v>
      </c>
      <c r="AD33" s="34">
        <f t="shared" si="80"/>
        <v>-350.3000000000003</v>
      </c>
      <c r="AE33" s="34">
        <f t="shared" si="80"/>
        <v>-158.7000000000001</v>
      </c>
      <c r="AF33" s="34">
        <f t="shared" si="80"/>
        <v>-165.9000000000002</v>
      </c>
      <c r="AG33" s="34">
        <f t="shared" si="80"/>
        <v>-325.10000000000031</v>
      </c>
      <c r="AH33" s="34">
        <f t="shared" si="80"/>
        <v>-328.20000000000016</v>
      </c>
      <c r="AI33" s="34">
        <f t="shared" si="80"/>
        <v>-286.19299999999993</v>
      </c>
      <c r="AJ33" s="34">
        <f t="shared" si="80"/>
        <v>-137.39999999999981</v>
      </c>
      <c r="AK33" s="34"/>
    </row>
    <row r="34" spans="1:39" s="36" customFormat="1" hidden="1" outlineLevel="1" x14ac:dyDescent="0.25">
      <c r="A34" s="35" t="s">
        <v>59</v>
      </c>
      <c r="B34" s="32">
        <f t="shared" ref="B34:H34" si="81">B33/B9</f>
        <v>-1.2574102964118563</v>
      </c>
      <c r="C34" s="32">
        <f t="shared" si="81"/>
        <v>-0.97741817992611457</v>
      </c>
      <c r="D34" s="32">
        <f t="shared" si="81"/>
        <v>-0.53868241063362998</v>
      </c>
      <c r="E34" s="32">
        <f t="shared" si="81"/>
        <v>-0.26826251328420359</v>
      </c>
      <c r="F34" s="32">
        <f t="shared" si="81"/>
        <v>-0.35989339081296806</v>
      </c>
      <c r="G34" s="32">
        <f t="shared" si="81"/>
        <v>-0.21584126472011611</v>
      </c>
      <c r="H34" s="32">
        <f t="shared" si="81"/>
        <v>-9.5182798564643373E-2</v>
      </c>
      <c r="I34" s="32"/>
      <c r="J34" s="32"/>
      <c r="K34" s="32"/>
      <c r="L34" s="32"/>
      <c r="M34" s="32"/>
      <c r="N34" s="32">
        <f t="shared" ref="N34:AJ34" si="82">N33/N9</f>
        <v>-0.61469806304595531</v>
      </c>
      <c r="O34" s="32">
        <f t="shared" si="82"/>
        <v>-0.46124653335279514</v>
      </c>
      <c r="P34" s="32">
        <f t="shared" si="82"/>
        <v>-0.67697790449037776</v>
      </c>
      <c r="Q34" s="32">
        <f t="shared" si="82"/>
        <v>-0.46788604180714777</v>
      </c>
      <c r="R34" s="32">
        <f t="shared" si="82"/>
        <v>-0.25411550704865848</v>
      </c>
      <c r="S34" s="32">
        <f t="shared" si="82"/>
        <v>-0.2502078766346662</v>
      </c>
      <c r="T34" s="32">
        <f t="shared" si="82"/>
        <v>-0.3334870139849393</v>
      </c>
      <c r="U34" s="32">
        <f t="shared" si="82"/>
        <v>-0.24584552805198681</v>
      </c>
      <c r="V34" s="32">
        <f t="shared" si="82"/>
        <v>-0.42460839411694384</v>
      </c>
      <c r="W34" s="32">
        <f t="shared" si="82"/>
        <v>-0.43431671753136669</v>
      </c>
      <c r="X34" s="32">
        <f t="shared" si="82"/>
        <v>-0.32189019328827218</v>
      </c>
      <c r="Y34" s="32">
        <f t="shared" si="82"/>
        <v>-0.28430118110236208</v>
      </c>
      <c r="Z34" s="32">
        <f t="shared" si="82"/>
        <v>-0.29834090460201462</v>
      </c>
      <c r="AA34" s="32">
        <f t="shared" si="82"/>
        <v>-0.25370451556334944</v>
      </c>
      <c r="AB34" s="32">
        <f t="shared" si="82"/>
        <v>-0.19096638655462184</v>
      </c>
      <c r="AC34" s="32">
        <f t="shared" si="82"/>
        <v>-0.14154446954324409</v>
      </c>
      <c r="AD34" s="32">
        <f t="shared" si="82"/>
        <v>-0.13816360337619324</v>
      </c>
      <c r="AE34" s="32">
        <f t="shared" si="82"/>
        <v>-6.111367837338267E-2</v>
      </c>
      <c r="AF34" s="32">
        <f t="shared" si="82"/>
        <v>-6.3279551436091167E-2</v>
      </c>
      <c r="AG34" s="32">
        <f t="shared" si="82"/>
        <v>-0.11812797500090852</v>
      </c>
      <c r="AH34" s="32">
        <f t="shared" si="82"/>
        <v>-0.13386629685524337</v>
      </c>
      <c r="AI34" s="32">
        <f t="shared" si="82"/>
        <v>-0.12178907505701285</v>
      </c>
      <c r="AJ34" s="32">
        <f t="shared" si="82"/>
        <v>-5.6557174611014983E-2</v>
      </c>
      <c r="AK34" s="32"/>
    </row>
    <row r="35" spans="1:39" hidden="1" outlineLevel="1" x14ac:dyDescent="0.25">
      <c r="A35" s="12"/>
      <c r="B35" s="12"/>
      <c r="C35" s="12"/>
      <c r="D35" s="12"/>
      <c r="E35" s="12"/>
      <c r="F35" s="12"/>
      <c r="G35" s="12"/>
      <c r="H35" s="12"/>
      <c r="I35" s="12"/>
      <c r="J35" s="12"/>
      <c r="K35" s="12"/>
      <c r="L35" s="12"/>
      <c r="M35" s="12"/>
      <c r="N35" s="12"/>
      <c r="O35" s="12"/>
      <c r="P35" s="12"/>
      <c r="Q35" s="7"/>
      <c r="R35" s="12"/>
      <c r="S35" s="12"/>
      <c r="T35" s="12"/>
      <c r="U35" s="7"/>
      <c r="V35" s="12"/>
      <c r="W35" s="12"/>
      <c r="X35" s="12"/>
      <c r="Y35" s="12"/>
      <c r="Z35" s="12"/>
      <c r="AA35" s="12"/>
      <c r="AB35" s="12"/>
      <c r="AC35" s="12"/>
      <c r="AD35" s="12"/>
      <c r="AE35" s="12"/>
      <c r="AF35" s="12"/>
      <c r="AG35" s="12"/>
      <c r="AH35" s="12"/>
      <c r="AI35" s="12"/>
      <c r="AJ35" s="12"/>
    </row>
    <row r="36" spans="1:39" hidden="1" outlineLevel="1" x14ac:dyDescent="0.25">
      <c r="A36" s="31" t="s">
        <v>38</v>
      </c>
      <c r="B36" s="49">
        <v>-374.2</v>
      </c>
      <c r="C36" s="11">
        <v>-511.6</v>
      </c>
      <c r="D36" s="11">
        <v>-795</v>
      </c>
      <c r="E36" s="11">
        <f>-376-(131.3+34.2)</f>
        <v>-541.5</v>
      </c>
      <c r="F36" s="11">
        <v>0</v>
      </c>
      <c r="G36" s="11">
        <v>0</v>
      </c>
      <c r="H36" s="11">
        <f>-957.6</f>
        <v>-957.6</v>
      </c>
      <c r="I36" s="15"/>
      <c r="J36" s="7"/>
      <c r="K36" s="7"/>
      <c r="L36" s="7"/>
      <c r="M36" s="7"/>
      <c r="N36" s="7">
        <f>D36-SUM(O36:Q36)</f>
        <v>-171.09999999999991</v>
      </c>
      <c r="O36" s="11">
        <v>-196.9</v>
      </c>
      <c r="P36" s="11">
        <v>-209.8</v>
      </c>
      <c r="Q36" s="7">
        <f>D36+577.8</f>
        <v>-217.20000000000005</v>
      </c>
      <c r="R36" s="11">
        <v>-216.1</v>
      </c>
      <c r="S36" s="11">
        <f>-159.5-126.6</f>
        <v>-286.10000000000002</v>
      </c>
      <c r="T36" s="11">
        <v>0</v>
      </c>
      <c r="U36" s="7">
        <f>E36-SUM(R36:T36)</f>
        <v>-39.299999999999955</v>
      </c>
      <c r="V36" s="11">
        <v>0</v>
      </c>
      <c r="W36" s="11">
        <v>0</v>
      </c>
      <c r="X36" s="11">
        <v>0</v>
      </c>
      <c r="Y36" s="7">
        <f>F36-SUM(V36:X36)</f>
        <v>0</v>
      </c>
      <c r="Z36" s="11">
        <v>0</v>
      </c>
      <c r="AA36" s="11">
        <v>0</v>
      </c>
      <c r="AB36" s="11">
        <v>0</v>
      </c>
      <c r="AC36" s="7">
        <f>G36-SUM(Z36:AB36)</f>
        <v>0</v>
      </c>
      <c r="AD36" s="11">
        <v>0</v>
      </c>
      <c r="AE36" s="11">
        <v>0</v>
      </c>
      <c r="AF36" s="11">
        <v>0</v>
      </c>
      <c r="AG36" s="7">
        <f>H36-SUM(AD36:AF36)</f>
        <v>-957.6</v>
      </c>
      <c r="AH36" s="11">
        <v>0</v>
      </c>
      <c r="AI36" s="11">
        <v>0</v>
      </c>
      <c r="AJ36" s="140">
        <v>-60</v>
      </c>
    </row>
    <row r="37" spans="1:39" hidden="1" outlineLevel="1" x14ac:dyDescent="0.25">
      <c r="A37" s="34" t="s">
        <v>60</v>
      </c>
      <c r="B37" s="34">
        <f t="shared" ref="B37:H37" si="83">SUM(B36:B36,B33)</f>
        <v>-1905.6</v>
      </c>
      <c r="C37" s="34">
        <f t="shared" si="83"/>
        <v>-2390.1</v>
      </c>
      <c r="D37" s="34">
        <f t="shared" si="83"/>
        <v>-2464.6999999999998</v>
      </c>
      <c r="E37" s="34">
        <f t="shared" si="83"/>
        <v>-2081.3000000000002</v>
      </c>
      <c r="F37" s="34">
        <f t="shared" si="83"/>
        <v>-2471.1000000000013</v>
      </c>
      <c r="G37" s="34">
        <f t="shared" si="83"/>
        <v>-2006.9999999999998</v>
      </c>
      <c r="H37" s="34">
        <f t="shared" si="83"/>
        <v>-1957.6</v>
      </c>
      <c r="I37" s="12"/>
      <c r="J37" s="34"/>
      <c r="K37" s="34"/>
      <c r="L37" s="34"/>
      <c r="M37" s="34"/>
      <c r="N37" s="34">
        <f t="shared" ref="N37:AJ37" si="84">SUM(N36:N36,N33)</f>
        <v>-494.7999999999999</v>
      </c>
      <c r="O37" s="34">
        <f t="shared" si="84"/>
        <v>-512.9</v>
      </c>
      <c r="P37" s="34">
        <f t="shared" si="84"/>
        <v>-684.7</v>
      </c>
      <c r="Q37" s="34">
        <f t="shared" si="84"/>
        <v>-772.30000000000018</v>
      </c>
      <c r="R37" s="34">
        <f t="shared" si="84"/>
        <v>-495.5</v>
      </c>
      <c r="S37" s="34">
        <f t="shared" si="84"/>
        <v>-617.09999999999991</v>
      </c>
      <c r="T37" s="34">
        <f t="shared" si="84"/>
        <v>-434</v>
      </c>
      <c r="U37" s="34">
        <f t="shared" si="84"/>
        <v>-534.90000000000009</v>
      </c>
      <c r="V37" s="34">
        <f t="shared" si="84"/>
        <v>-710.20000000000027</v>
      </c>
      <c r="W37" s="34">
        <f t="shared" si="84"/>
        <v>-640.4000000000002</v>
      </c>
      <c r="X37" s="34">
        <f t="shared" si="84"/>
        <v>-542.89999999999986</v>
      </c>
      <c r="Y37" s="34">
        <f t="shared" si="84"/>
        <v>-577.6999999999997</v>
      </c>
      <c r="Z37" s="34">
        <f t="shared" si="84"/>
        <v>-604.20000000000005</v>
      </c>
      <c r="AA37" s="34">
        <f t="shared" si="84"/>
        <v>-578.70000000000005</v>
      </c>
      <c r="AB37" s="34">
        <f t="shared" si="84"/>
        <v>-454.5</v>
      </c>
      <c r="AC37" s="34">
        <f t="shared" si="84"/>
        <v>-369.69999999999925</v>
      </c>
      <c r="AD37" s="34">
        <f t="shared" si="84"/>
        <v>-350.3000000000003</v>
      </c>
      <c r="AE37" s="34">
        <f t="shared" si="84"/>
        <v>-158.7000000000001</v>
      </c>
      <c r="AF37" s="34">
        <f t="shared" si="84"/>
        <v>-165.9000000000002</v>
      </c>
      <c r="AG37" s="34">
        <f t="shared" si="84"/>
        <v>-1282.7000000000003</v>
      </c>
      <c r="AH37" s="34">
        <f t="shared" si="84"/>
        <v>-328.20000000000016</v>
      </c>
      <c r="AI37" s="34">
        <f t="shared" si="84"/>
        <v>-286.19299999999993</v>
      </c>
      <c r="AJ37" s="34">
        <f t="shared" si="84"/>
        <v>-197.39999999999981</v>
      </c>
      <c r="AK37" s="34"/>
      <c r="AM37" s="253"/>
    </row>
    <row r="38" spans="1:39" hidden="1" outlineLevel="1" x14ac:dyDescent="0.25">
      <c r="A38" s="12"/>
      <c r="B38" s="12"/>
      <c r="C38" s="12"/>
      <c r="D38" s="12"/>
      <c r="E38" s="12"/>
      <c r="F38" s="12"/>
      <c r="G38" s="12"/>
      <c r="H38" s="12"/>
      <c r="I38" s="12"/>
      <c r="J38" s="12"/>
      <c r="K38" s="12"/>
      <c r="L38" s="12"/>
      <c r="M38" s="12"/>
      <c r="N38" s="12"/>
      <c r="O38" s="12"/>
      <c r="P38" s="12"/>
      <c r="Q38" s="7"/>
      <c r="R38" s="12"/>
      <c r="S38" s="12"/>
      <c r="T38" s="12"/>
      <c r="U38" s="7"/>
      <c r="V38" s="12"/>
      <c r="W38" s="12"/>
      <c r="X38" s="12"/>
      <c r="Y38" s="12"/>
      <c r="Z38" s="12"/>
      <c r="AA38" s="12"/>
      <c r="AB38" s="12"/>
      <c r="AC38" s="12"/>
      <c r="AD38" s="12"/>
      <c r="AE38" s="12"/>
      <c r="AF38" s="12"/>
      <c r="AG38" s="12"/>
      <c r="AH38" s="12"/>
      <c r="AI38" s="12"/>
      <c r="AJ38" s="12"/>
    </row>
    <row r="39" spans="1:39" hidden="1" outlineLevel="1" x14ac:dyDescent="0.25">
      <c r="A39" s="35" t="s">
        <v>61</v>
      </c>
      <c r="B39" s="32">
        <f>B27/(B220+B221)</f>
        <v>2.2282632915905341E-2</v>
      </c>
      <c r="C39" s="32">
        <f t="shared" ref="C39:H39" si="85">C27/AVERAGE(C220+C221,B220+B221)</f>
        <v>2.5782946822672174E-2</v>
      </c>
      <c r="D39" s="32">
        <f t="shared" si="85"/>
        <v>2.5418563797368517E-2</v>
      </c>
      <c r="E39" s="32">
        <f t="shared" si="85"/>
        <v>1.5587444373051568E-2</v>
      </c>
      <c r="F39" s="32">
        <f t="shared" si="85"/>
        <v>2.7260539252197229E-2</v>
      </c>
      <c r="G39" s="32">
        <f t="shared" si="85"/>
        <v>3.8338033219775386E-2</v>
      </c>
      <c r="H39" s="32">
        <f t="shared" si="85"/>
        <v>3.5176903617202389E-2</v>
      </c>
      <c r="I39" s="32"/>
      <c r="J39" s="32"/>
      <c r="K39" s="32"/>
      <c r="L39" s="32"/>
      <c r="M39" s="32"/>
      <c r="N39" s="32"/>
      <c r="O39" s="32"/>
      <c r="P39" s="32"/>
      <c r="Q39" s="32"/>
      <c r="R39" s="32"/>
      <c r="S39" s="32">
        <f>S27*4/(S220+S221)</f>
        <v>1.3948473238661128E-2</v>
      </c>
      <c r="T39" s="32">
        <f t="shared" ref="T39:AJ39" si="86">T27*4/AVERAGE(T220+T221,S220+S221)</f>
        <v>1.8562866821357223E-2</v>
      </c>
      <c r="U39" s="32">
        <f t="shared" si="86"/>
        <v>1.5373682577493974E-2</v>
      </c>
      <c r="V39" s="32">
        <f t="shared" si="86"/>
        <v>2.3979552845873629E-2</v>
      </c>
      <c r="W39" s="32">
        <f t="shared" si="86"/>
        <v>2.2146692281168417E-2</v>
      </c>
      <c r="X39" s="32">
        <f t="shared" si="86"/>
        <v>2.6011979200947805E-2</v>
      </c>
      <c r="Y39" s="32">
        <f t="shared" si="86"/>
        <v>3.6963696369636971E-2</v>
      </c>
      <c r="Z39" s="32">
        <f t="shared" si="86"/>
        <v>2.6327336551118914E-2</v>
      </c>
      <c r="AA39" s="32">
        <f t="shared" si="86"/>
        <v>2.6766296771315451E-2</v>
      </c>
      <c r="AB39" s="32">
        <f t="shared" si="86"/>
        <v>2.7869607063648157E-2</v>
      </c>
      <c r="AC39" s="32">
        <f t="shared" si="86"/>
        <v>2.7810836204196679E-2</v>
      </c>
      <c r="AD39" s="32">
        <f t="shared" si="86"/>
        <v>3.4700510374315693E-2</v>
      </c>
      <c r="AE39" s="32">
        <f t="shared" si="86"/>
        <v>3.8921062242395783E-2</v>
      </c>
      <c r="AF39" s="32">
        <f t="shared" si="86"/>
        <v>4.1365442619811371E-2</v>
      </c>
      <c r="AG39" s="25">
        <f t="shared" si="86"/>
        <v>2.9688320366569598E-2</v>
      </c>
      <c r="AH39" s="32">
        <f t="shared" si="86"/>
        <v>3.5767970707265367E-2</v>
      </c>
      <c r="AI39" s="32">
        <f t="shared" si="86"/>
        <v>2.3818505146305978E-2</v>
      </c>
      <c r="AJ39" s="32">
        <f t="shared" si="86"/>
        <v>3.3841052419542272E-2</v>
      </c>
      <c r="AK39" s="32"/>
    </row>
    <row r="40" spans="1:39" hidden="1" outlineLevel="1" x14ac:dyDescent="0.25">
      <c r="A40" s="35" t="s">
        <v>62</v>
      </c>
      <c r="B40" s="32">
        <f>B28/(B234+B241)</f>
        <v>-2.5112866817155757E-2</v>
      </c>
      <c r="C40" s="32">
        <f>C28/AVERAGE(C234+C241,B234+B241)</f>
        <v>-1.7494356659142212E-2</v>
      </c>
      <c r="D40" s="32"/>
      <c r="E40" s="32">
        <f>E28/AVERAGE(E234+E241,D234+D241)</f>
        <v>-3.0649350649350652E-2</v>
      </c>
      <c r="F40" s="32">
        <f>F28/AVERAGE(F234+F241,E234+E241)</f>
        <v>-3.1724137931034485E-2</v>
      </c>
      <c r="G40" s="32">
        <f>G28/AVERAGE(G234+G241,F234+F241)</f>
        <v>-0.109</v>
      </c>
      <c r="H40" s="32">
        <f>H28/AVERAGE(H234+H241,G234+G241)</f>
        <v>-1.6E-2</v>
      </c>
      <c r="I40" s="32"/>
      <c r="J40" s="32"/>
      <c r="K40" s="32"/>
      <c r="L40" s="32"/>
      <c r="M40" s="32"/>
      <c r="N40" s="32"/>
      <c r="O40" s="32"/>
      <c r="P40" s="32"/>
      <c r="Q40" s="32"/>
      <c r="R40" s="32"/>
      <c r="S40" s="32">
        <f>S28*4/(S234+S241)</f>
        <v>-2.4E-2</v>
      </c>
      <c r="T40" s="32">
        <f t="shared" ref="T40:AE40" si="87">T28*4/AVERAGE(T234+T241,S234+S241)</f>
        <v>-3.5555555555555556E-2</v>
      </c>
      <c r="U40" s="32">
        <f t="shared" si="87"/>
        <v>-3.2121212121212127E-2</v>
      </c>
      <c r="V40" s="32">
        <f t="shared" si="87"/>
        <v>-2.9444444444444443E-2</v>
      </c>
      <c r="W40" s="32">
        <f t="shared" si="87"/>
        <v>-2.5806451612903226E-2</v>
      </c>
      <c r="X40" s="32">
        <f t="shared" si="87"/>
        <v>-2.4680851063829785E-2</v>
      </c>
      <c r="Y40" s="32">
        <f t="shared" si="87"/>
        <v>-2.7234042553191482E-2</v>
      </c>
      <c r="Z40" s="32">
        <f t="shared" si="87"/>
        <v>-3.2000000000000001E-2</v>
      </c>
      <c r="AA40" s="32">
        <f t="shared" si="87"/>
        <v>-1.4857142857142857E-2</v>
      </c>
      <c r="AB40" s="32">
        <f t="shared" si="87"/>
        <v>-2.1333333333333336E-2</v>
      </c>
      <c r="AC40" s="32">
        <f t="shared" si="87"/>
        <v>-6.4000000000000001E-2</v>
      </c>
      <c r="AD40" s="32">
        <f t="shared" si="87"/>
        <v>-1.6E-2</v>
      </c>
      <c r="AE40" s="32">
        <f t="shared" si="87"/>
        <v>-2.4E-2</v>
      </c>
      <c r="AF40" s="32"/>
      <c r="AG40" s="25"/>
      <c r="AH40" s="32"/>
      <c r="AI40" s="32"/>
      <c r="AJ40" s="32"/>
      <c r="AK40" s="32"/>
    </row>
    <row r="41" spans="1:39" hidden="1" outlineLevel="1" x14ac:dyDescent="0.25">
      <c r="A41" s="35" t="s">
        <v>63</v>
      </c>
      <c r="B41" s="32">
        <f t="shared" ref="B41:H41" si="88">B31/B30</f>
        <v>-9.1232610805564562E-3</v>
      </c>
      <c r="C41" s="32">
        <f t="shared" si="88"/>
        <v>-1.4376410094968256E-2</v>
      </c>
      <c r="D41" s="32">
        <f t="shared" si="88"/>
        <v>-5.3612914755465551E-3</v>
      </c>
      <c r="E41" s="32">
        <f t="shared" si="88"/>
        <v>-3.301184542688847E-3</v>
      </c>
      <c r="F41" s="32">
        <f t="shared" si="88"/>
        <v>-4.632240393136226E-3</v>
      </c>
      <c r="G41" s="32">
        <f t="shared" si="88"/>
        <v>-2.3859230539815092E-3</v>
      </c>
      <c r="H41" s="32">
        <f t="shared" si="88"/>
        <v>-4.9751243781094535E-3</v>
      </c>
      <c r="I41" s="32"/>
      <c r="J41" s="32"/>
      <c r="K41" s="32"/>
      <c r="L41" s="32"/>
      <c r="M41" s="32"/>
      <c r="N41" s="32">
        <f t="shared" ref="N41:AJ41" si="89">N31/N30</f>
        <v>-7.0552147239263795E-3</v>
      </c>
      <c r="O41" s="32">
        <f t="shared" si="89"/>
        <v>-6.9138906348208693E-3</v>
      </c>
      <c r="P41" s="32">
        <f t="shared" si="89"/>
        <v>-4.6111926220918052E-3</v>
      </c>
      <c r="Q41" s="32">
        <f t="shared" si="89"/>
        <v>-4.1263006817366336E-3</v>
      </c>
      <c r="R41" s="32">
        <f t="shared" si="89"/>
        <v>-4.6312789454934083E-3</v>
      </c>
      <c r="S41" s="32">
        <f t="shared" si="89"/>
        <v>-3.6122817579771226E-3</v>
      </c>
      <c r="T41" s="32">
        <f t="shared" si="89"/>
        <v>-2.7573529411764708E-3</v>
      </c>
      <c r="U41" s="32">
        <f t="shared" si="89"/>
        <v>-2.8169014084507022E-3</v>
      </c>
      <c r="V41" s="32">
        <f t="shared" si="89"/>
        <v>-1.686814731515321E-3</v>
      </c>
      <c r="W41" s="32">
        <f t="shared" si="89"/>
        <v>-1.8703241895261838E-3</v>
      </c>
      <c r="X41" s="32">
        <f t="shared" si="89"/>
        <v>-2.2054769343870617E-3</v>
      </c>
      <c r="Y41" s="32">
        <f t="shared" si="89"/>
        <v>-1.3490437158469953E-2</v>
      </c>
      <c r="Z41" s="32">
        <f t="shared" si="89"/>
        <v>-1.9821605550049549E-3</v>
      </c>
      <c r="AA41" s="32">
        <f t="shared" si="89"/>
        <v>-2.0693222969477491E-3</v>
      </c>
      <c r="AB41" s="32">
        <f t="shared" si="89"/>
        <v>-2.1953896816684962E-3</v>
      </c>
      <c r="AC41" s="32">
        <f t="shared" si="89"/>
        <v>-3.772568040959318E-3</v>
      </c>
      <c r="AD41" s="32">
        <f t="shared" si="89"/>
        <v>-3.4139402560455162E-3</v>
      </c>
      <c r="AE41" s="32">
        <f t="shared" si="89"/>
        <v>-7.5046904315196955E-3</v>
      </c>
      <c r="AF41" s="32">
        <f t="shared" si="89"/>
        <v>-7.1813285457809611E-3</v>
      </c>
      <c r="AG41" s="25">
        <f t="shared" si="89"/>
        <v>-4.2879019908116361E-3</v>
      </c>
      <c r="AH41" s="32">
        <f t="shared" si="89"/>
        <v>-6.056935190793456E-3</v>
      </c>
      <c r="AI41" s="32">
        <f t="shared" si="89"/>
        <v>-6.9397938187256477E-3</v>
      </c>
      <c r="AJ41" s="32">
        <f t="shared" si="89"/>
        <v>-1.4347202295552388E-2</v>
      </c>
      <c r="AK41" s="32"/>
    </row>
    <row r="42" spans="1:39" hidden="1" outlineLevel="1" x14ac:dyDescent="0.25">
      <c r="A42" s="22"/>
      <c r="B42" s="22"/>
      <c r="C42" s="18"/>
      <c r="D42" s="18"/>
      <c r="E42" s="18"/>
      <c r="F42" s="18"/>
      <c r="G42" s="18"/>
      <c r="H42" s="18"/>
      <c r="I42" s="18"/>
      <c r="J42" s="18"/>
      <c r="K42" s="18"/>
      <c r="L42" s="18"/>
      <c r="M42" s="18"/>
      <c r="N42" s="20"/>
      <c r="O42" s="20"/>
      <c r="P42" s="20"/>
      <c r="Q42" s="21"/>
      <c r="R42" s="20"/>
      <c r="S42" s="20"/>
      <c r="T42" s="20"/>
      <c r="U42" s="21"/>
      <c r="V42" s="20"/>
      <c r="W42" s="20"/>
      <c r="X42" s="20"/>
      <c r="Y42" s="20"/>
      <c r="Z42" s="20"/>
      <c r="AA42" s="20"/>
      <c r="AB42" s="20"/>
      <c r="AC42" s="20"/>
      <c r="AD42" s="20"/>
      <c r="AE42" s="20"/>
      <c r="AF42" s="18"/>
      <c r="AG42" s="20"/>
      <c r="AH42" s="20"/>
      <c r="AI42" s="20"/>
      <c r="AJ42" s="20"/>
    </row>
    <row r="43" spans="1:39" s="254" customFormat="1" hidden="1" outlineLevel="1" x14ac:dyDescent="0.25">
      <c r="A43" s="45" t="s">
        <v>64</v>
      </c>
      <c r="B43" s="44"/>
      <c r="C43" s="44"/>
      <c r="D43" s="44"/>
      <c r="E43" s="44">
        <v>238.48490100000001</v>
      </c>
      <c r="F43" s="44">
        <f>950.697557/4</f>
        <v>237.67438924999999</v>
      </c>
      <c r="G43" s="44">
        <f>1015.265686/4</f>
        <v>253.81642149999999</v>
      </c>
      <c r="H43" s="44">
        <f>1040.680392/4</f>
        <v>260.170098</v>
      </c>
      <c r="I43" s="45" t="s">
        <v>65</v>
      </c>
      <c r="J43" s="44"/>
      <c r="K43" s="44"/>
      <c r="L43" s="44"/>
      <c r="M43" s="44"/>
      <c r="N43" s="44"/>
      <c r="O43" s="44"/>
      <c r="P43" s="44"/>
      <c r="Q43" s="46"/>
      <c r="R43" s="44"/>
      <c r="S43" s="44">
        <v>238.48490100000001</v>
      </c>
      <c r="T43" s="44">
        <v>238.48490100000001</v>
      </c>
      <c r="U43" s="44">
        <v>238.48490100000001</v>
      </c>
      <c r="V43" s="44">
        <f>950.251619/4</f>
        <v>237.56290475</v>
      </c>
      <c r="W43" s="44">
        <f>951.437694/4</f>
        <v>237.85942349999999</v>
      </c>
      <c r="X43" s="44">
        <f>944.451432/4</f>
        <v>236.11285799999999</v>
      </c>
      <c r="Y43" s="44">
        <f>942.581485/4</f>
        <v>235.64537125000001</v>
      </c>
      <c r="Z43" s="44">
        <f>972.608175/4</f>
        <v>243.15204374999999</v>
      </c>
      <c r="AA43" s="44">
        <f>968.860766/4</f>
        <v>242.2151915</v>
      </c>
      <c r="AB43" s="44">
        <f>1028.922429/4</f>
        <v>257.23060724999999</v>
      </c>
      <c r="AC43" s="44">
        <f>1021.484524/4</f>
        <v>255.37113099999999</v>
      </c>
      <c r="AD43" s="44">
        <f>1023.413776/4</f>
        <v>255.853444</v>
      </c>
      <c r="AE43" s="44">
        <f>1048.165062/4</f>
        <v>262.04126550000001</v>
      </c>
      <c r="AF43" s="44">
        <f>1042.045692/4</f>
        <v>260.51142299999998</v>
      </c>
      <c r="AG43" s="44">
        <f>1049.683427/4</f>
        <v>262.42085674999998</v>
      </c>
      <c r="AH43" s="44">
        <f>1057.139291/4</f>
        <v>264.28482274999999</v>
      </c>
      <c r="AI43" s="44">
        <f>1043.972124/4</f>
        <v>260.99303099999997</v>
      </c>
      <c r="AJ43" s="44">
        <f>1039.661914/4</f>
        <v>259.91547850000001</v>
      </c>
    </row>
    <row r="44" spans="1:39" s="255" customFormat="1" hidden="1" outlineLevel="1" x14ac:dyDescent="0.25">
      <c r="A44" s="35" t="s">
        <v>66</v>
      </c>
      <c r="B44" s="35"/>
      <c r="C44" s="32"/>
      <c r="D44" s="32"/>
      <c r="E44" s="32"/>
      <c r="F44" s="32">
        <f>F43/E43-1</f>
        <v>-3.3985872757622548E-3</v>
      </c>
      <c r="G44" s="32">
        <f>G43/F43-1</f>
        <v>6.7916582434217831E-2</v>
      </c>
      <c r="H44" s="32">
        <f>H43/G43-1</f>
        <v>2.5032566697029024E-2</v>
      </c>
      <c r="I44" s="50"/>
      <c r="J44" s="32"/>
      <c r="K44" s="32"/>
      <c r="L44" s="32"/>
      <c r="M44" s="32"/>
      <c r="N44" s="25"/>
      <c r="O44" s="25"/>
      <c r="P44" s="25"/>
      <c r="Q44" s="25"/>
      <c r="R44" s="25"/>
      <c r="S44" s="25"/>
      <c r="T44" s="25"/>
      <c r="U44" s="25"/>
      <c r="V44" s="25"/>
      <c r="W44" s="25">
        <f t="shared" ref="W44:AJ44" si="90">W43/S43-1</f>
        <v>-2.6227132090010929E-3</v>
      </c>
      <c r="X44" s="25">
        <f t="shared" si="90"/>
        <v>-9.9463026382539121E-3</v>
      </c>
      <c r="Y44" s="25">
        <f t="shared" si="90"/>
        <v>-1.1906538896565233E-2</v>
      </c>
      <c r="Z44" s="25">
        <f t="shared" si="90"/>
        <v>2.3526985435212255E-2</v>
      </c>
      <c r="AA44" s="25">
        <f t="shared" si="90"/>
        <v>1.8312362553926764E-2</v>
      </c>
      <c r="AB44" s="25">
        <f t="shared" si="90"/>
        <v>8.9439217452528696E-2</v>
      </c>
      <c r="AC44" s="25">
        <f t="shared" si="90"/>
        <v>8.3709515045269356E-2</v>
      </c>
      <c r="AD44" s="25">
        <f t="shared" si="90"/>
        <v>5.223645277297817E-2</v>
      </c>
      <c r="AE44" s="25">
        <f t="shared" si="90"/>
        <v>8.1853140082668974E-2</v>
      </c>
      <c r="AF44" s="32">
        <f t="shared" si="90"/>
        <v>1.275437548071956E-2</v>
      </c>
      <c r="AG44" s="25">
        <f t="shared" si="90"/>
        <v>2.7605805411105688E-2</v>
      </c>
      <c r="AH44" s="25">
        <f t="shared" si="90"/>
        <v>3.2953938857277931E-2</v>
      </c>
      <c r="AI44" s="25">
        <f t="shared" si="90"/>
        <v>-4.0002649887982411E-3</v>
      </c>
      <c r="AJ44" s="25">
        <f t="shared" si="90"/>
        <v>-2.2875945059805947E-3</v>
      </c>
    </row>
    <row r="45" spans="1:39" hidden="1" outlineLevel="1" x14ac:dyDescent="0.25">
      <c r="A45" s="12"/>
      <c r="B45" s="12"/>
      <c r="C45" s="12"/>
      <c r="D45" s="12"/>
      <c r="E45" s="12"/>
      <c r="F45" s="12"/>
      <c r="G45" s="12"/>
      <c r="H45" s="12"/>
      <c r="I45" s="12"/>
      <c r="J45" s="12"/>
      <c r="K45" s="12"/>
      <c r="L45" s="12"/>
      <c r="M45" s="12"/>
      <c r="N45" s="12"/>
      <c r="O45" s="12"/>
      <c r="P45" s="12"/>
      <c r="Q45" s="7"/>
      <c r="R45" s="12"/>
      <c r="S45" s="12"/>
      <c r="T45" s="12"/>
      <c r="U45" s="7"/>
      <c r="V45" s="12"/>
      <c r="W45" s="12"/>
      <c r="X45" s="12"/>
      <c r="Y45" s="12"/>
      <c r="Z45" s="12"/>
      <c r="AA45" s="12"/>
      <c r="AB45" s="12"/>
      <c r="AC45" s="12"/>
      <c r="AD45" s="12"/>
      <c r="AE45" s="12"/>
      <c r="AF45" s="12"/>
      <c r="AG45" s="12"/>
      <c r="AH45" s="12"/>
      <c r="AI45" s="12"/>
      <c r="AJ45" s="12"/>
    </row>
    <row r="46" spans="1:39" hidden="1" outlineLevel="1" x14ac:dyDescent="0.25">
      <c r="A46" s="12" t="s">
        <v>67</v>
      </c>
      <c r="B46" s="12"/>
      <c r="C46" s="11">
        <v>50.9</v>
      </c>
      <c r="D46" s="11">
        <v>51</v>
      </c>
      <c r="E46" s="11">
        <v>360</v>
      </c>
      <c r="F46" s="11">
        <v>207.9</v>
      </c>
      <c r="G46" s="11">
        <v>218.7</v>
      </c>
      <c r="H46" s="11">
        <v>163.1</v>
      </c>
      <c r="I46" s="12"/>
      <c r="J46" s="7"/>
      <c r="K46" s="7"/>
      <c r="L46" s="7"/>
      <c r="M46" s="7"/>
      <c r="N46" s="7">
        <f>D46-SUM(O46:Q46)</f>
        <v>12.100000000000001</v>
      </c>
      <c r="O46" s="11">
        <v>12.2</v>
      </c>
      <c r="P46" s="11">
        <v>13.4</v>
      </c>
      <c r="Q46" s="11">
        <f>D46-37.7</f>
        <v>13.299999999999997</v>
      </c>
      <c r="R46" s="11">
        <v>40.4</v>
      </c>
      <c r="S46" s="11">
        <v>181.5</v>
      </c>
      <c r="T46" s="11">
        <v>66</v>
      </c>
      <c r="U46" s="7">
        <f>E46-SUM(R46:T46)</f>
        <v>72.100000000000023</v>
      </c>
      <c r="V46" s="11">
        <v>50.1</v>
      </c>
      <c r="W46" s="11">
        <v>49.5</v>
      </c>
      <c r="X46" s="11">
        <v>50.6</v>
      </c>
      <c r="Y46" s="7">
        <f>F46-SUM(V46:X46)</f>
        <v>57.700000000000017</v>
      </c>
      <c r="Z46" s="11">
        <v>55</v>
      </c>
      <c r="AA46" s="11">
        <v>55.7</v>
      </c>
      <c r="AB46" s="11">
        <v>52.1</v>
      </c>
      <c r="AC46" s="7">
        <f>G46-SUM(Z46:AB46)</f>
        <v>55.899999999999977</v>
      </c>
      <c r="AD46" s="11">
        <v>37.4</v>
      </c>
      <c r="AE46" s="11">
        <v>42.2</v>
      </c>
      <c r="AF46" s="11">
        <v>36.799999999999997</v>
      </c>
      <c r="AG46" s="7">
        <f>H46-SUM(AD46:AF46)</f>
        <v>46.7</v>
      </c>
      <c r="AH46" s="11">
        <v>15.1</v>
      </c>
      <c r="AI46" s="11">
        <v>25.5</v>
      </c>
      <c r="AJ46" s="11">
        <v>21.4</v>
      </c>
    </row>
    <row r="47" spans="1:39" hidden="1" outlineLevel="1" x14ac:dyDescent="0.25">
      <c r="A47" s="35" t="s">
        <v>68</v>
      </c>
      <c r="B47" s="32"/>
      <c r="C47" s="32">
        <f t="shared" ref="C47:H47" si="91">C46/C9</f>
        <v>2.6484208335501323E-2</v>
      </c>
      <c r="D47" s="32">
        <f t="shared" si="91"/>
        <v>1.6453735965931086E-2</v>
      </c>
      <c r="E47" s="32">
        <f t="shared" si="91"/>
        <v>6.2718862697956415E-2</v>
      </c>
      <c r="F47" s="32">
        <f t="shared" si="91"/>
        <v>3.0278756808715158E-2</v>
      </c>
      <c r="G47" s="32">
        <f t="shared" si="91"/>
        <v>2.3519922568156153E-2</v>
      </c>
      <c r="H47" s="32">
        <f t="shared" si="91"/>
        <v>1.5524314445893337E-2</v>
      </c>
      <c r="I47" s="32"/>
      <c r="J47" s="32"/>
      <c r="K47" s="32"/>
      <c r="L47" s="32"/>
      <c r="M47" s="32"/>
      <c r="N47" s="32">
        <f t="shared" ref="N47:AJ47" si="92">N46/N9</f>
        <v>2.2977592100265863E-2</v>
      </c>
      <c r="O47" s="32">
        <f t="shared" si="92"/>
        <v>1.7807619325645889E-2</v>
      </c>
      <c r="P47" s="32">
        <f t="shared" si="92"/>
        <v>1.9101924447612259E-2</v>
      </c>
      <c r="Q47" s="32">
        <f t="shared" si="92"/>
        <v>1.1210384356035061E-2</v>
      </c>
      <c r="R47" s="32">
        <f t="shared" si="92"/>
        <v>3.6743974533879037E-2</v>
      </c>
      <c r="S47" s="32">
        <f t="shared" si="92"/>
        <v>0.13719857887973391</v>
      </c>
      <c r="T47" s="32">
        <f t="shared" si="92"/>
        <v>5.071461502996772E-2</v>
      </c>
      <c r="U47" s="32">
        <f t="shared" si="92"/>
        <v>3.5765662979314466E-2</v>
      </c>
      <c r="V47" s="32">
        <f t="shared" si="92"/>
        <v>2.9953366016979555E-2</v>
      </c>
      <c r="W47" s="32">
        <f t="shared" si="92"/>
        <v>3.3570701932858597E-2</v>
      </c>
      <c r="X47" s="32">
        <f t="shared" si="92"/>
        <v>3.0001185817621248E-2</v>
      </c>
      <c r="Y47" s="32">
        <f t="shared" si="92"/>
        <v>2.8395669291338591E-2</v>
      </c>
      <c r="Z47" s="32">
        <f t="shared" si="92"/>
        <v>2.7157811574165514E-2</v>
      </c>
      <c r="AA47" s="32">
        <f t="shared" si="92"/>
        <v>2.4419114423498468E-2</v>
      </c>
      <c r="AB47" s="32">
        <f t="shared" si="92"/>
        <v>2.1890756302521009E-2</v>
      </c>
      <c r="AC47" s="32">
        <f t="shared" si="92"/>
        <v>2.1402044488686389E-2</v>
      </c>
      <c r="AD47" s="32">
        <f t="shared" si="92"/>
        <v>1.4751124082984934E-2</v>
      </c>
      <c r="AE47" s="32">
        <f t="shared" si="92"/>
        <v>1.6250770178681456E-2</v>
      </c>
      <c r="AF47" s="32">
        <f t="shared" si="92"/>
        <v>1.4036693748331235E-2</v>
      </c>
      <c r="AG47" s="32">
        <f t="shared" si="92"/>
        <v>1.6968860143163404E-2</v>
      </c>
      <c r="AH47" s="32">
        <f t="shared" si="92"/>
        <v>6.1589917200309992E-3</v>
      </c>
      <c r="AI47" s="32">
        <f t="shared" si="92"/>
        <v>1.0851493271861396E-2</v>
      </c>
      <c r="AJ47" s="32">
        <f t="shared" si="92"/>
        <v>8.8087593644521275E-3</v>
      </c>
    </row>
    <row r="48" spans="1:39" hidden="1" outlineLevel="1" x14ac:dyDescent="0.25">
      <c r="A48" s="35"/>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25"/>
      <c r="AH48" s="32"/>
      <c r="AI48" s="32"/>
      <c r="AJ48" s="32"/>
    </row>
    <row r="49" spans="1:37" collapsed="1" x14ac:dyDescent="0.25">
      <c r="A49" s="35"/>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25"/>
      <c r="AH49" s="32"/>
      <c r="AI49" s="32"/>
      <c r="AJ49" s="32"/>
    </row>
    <row r="50" spans="1:37" x14ac:dyDescent="0.25">
      <c r="A50" s="12" t="s">
        <v>146</v>
      </c>
      <c r="B50" s="12"/>
      <c r="C50" s="12"/>
      <c r="D50" s="12"/>
      <c r="E50" s="12"/>
      <c r="F50" s="12"/>
      <c r="G50" s="12"/>
      <c r="H50" s="12"/>
      <c r="I50" s="12"/>
      <c r="J50" s="12"/>
      <c r="K50" s="12"/>
      <c r="L50" s="12"/>
      <c r="M50" s="12"/>
      <c r="N50" s="12"/>
      <c r="O50" s="12"/>
      <c r="P50" s="12"/>
      <c r="Q50" s="7"/>
      <c r="R50" s="12"/>
      <c r="S50" s="12"/>
      <c r="T50" s="12"/>
      <c r="U50" s="7"/>
      <c r="V50" s="12"/>
      <c r="W50" s="12"/>
      <c r="X50" s="12"/>
      <c r="Y50" s="12"/>
      <c r="Z50" s="12"/>
      <c r="AA50" s="12"/>
      <c r="AB50" s="12"/>
      <c r="AC50" s="12"/>
      <c r="AD50" s="12"/>
      <c r="AE50" s="12"/>
      <c r="AF50" s="12"/>
      <c r="AG50" s="12"/>
      <c r="AH50" s="12"/>
      <c r="AI50" s="12"/>
      <c r="AJ50" s="12"/>
    </row>
    <row r="51" spans="1:37" x14ac:dyDescent="0.25">
      <c r="A51" s="33" t="s">
        <v>42</v>
      </c>
      <c r="B51" s="7">
        <f t="shared" ref="B51:H52" si="93">-B73</f>
        <v>0</v>
      </c>
      <c r="C51" s="7">
        <f t="shared" si="93"/>
        <v>0</v>
      </c>
      <c r="D51" s="7">
        <f t="shared" si="93"/>
        <v>59.300000000000011</v>
      </c>
      <c r="E51" s="7">
        <f t="shared" si="93"/>
        <v>34.199999999999989</v>
      </c>
      <c r="F51" s="7">
        <f t="shared" si="93"/>
        <v>33.300000000000011</v>
      </c>
      <c r="G51" s="7">
        <f t="shared" si="93"/>
        <v>33.299999999999955</v>
      </c>
      <c r="H51" s="7">
        <f t="shared" si="93"/>
        <v>33.399999999999977</v>
      </c>
      <c r="I51" s="7"/>
      <c r="J51" s="7"/>
      <c r="K51" s="7"/>
      <c r="L51" s="7"/>
      <c r="M51" s="7"/>
      <c r="N51" s="7">
        <f t="shared" ref="N51:AJ51" si="94">-N73</f>
        <v>14.825000000000003</v>
      </c>
      <c r="O51" s="7">
        <f t="shared" si="94"/>
        <v>14.825000000000003</v>
      </c>
      <c r="P51" s="7">
        <f t="shared" si="94"/>
        <v>14.825000000000003</v>
      </c>
      <c r="Q51" s="7">
        <f t="shared" si="94"/>
        <v>14.825000000000003</v>
      </c>
      <c r="R51" s="7">
        <f t="shared" si="94"/>
        <v>8.5499999999999972</v>
      </c>
      <c r="S51" s="7">
        <f t="shared" si="94"/>
        <v>8.5499999999999972</v>
      </c>
      <c r="T51" s="7">
        <f t="shared" si="94"/>
        <v>8.5499999999999972</v>
      </c>
      <c r="U51" s="7">
        <f t="shared" si="94"/>
        <v>8.5499999999999972</v>
      </c>
      <c r="V51" s="7">
        <f t="shared" si="94"/>
        <v>8.3250000000000028</v>
      </c>
      <c r="W51" s="7">
        <f t="shared" si="94"/>
        <v>8.3250000000000028</v>
      </c>
      <c r="X51" s="7">
        <f t="shared" si="94"/>
        <v>8.3250000000000028</v>
      </c>
      <c r="Y51" s="7">
        <f t="shared" si="94"/>
        <v>8.3250000000000028</v>
      </c>
      <c r="Z51" s="7">
        <f t="shared" si="94"/>
        <v>8.3249999999999886</v>
      </c>
      <c r="AA51" s="7">
        <f t="shared" si="94"/>
        <v>8.3249999999999886</v>
      </c>
      <c r="AB51" s="7">
        <f t="shared" si="94"/>
        <v>8.3249999999999886</v>
      </c>
      <c r="AC51" s="7">
        <f t="shared" si="94"/>
        <v>8.3249999999999886</v>
      </c>
      <c r="AD51" s="7">
        <f t="shared" si="94"/>
        <v>8.3499999999999943</v>
      </c>
      <c r="AE51" s="7">
        <f t="shared" si="94"/>
        <v>8.3499999999999943</v>
      </c>
      <c r="AF51" s="7">
        <f t="shared" si="94"/>
        <v>8.3499999999999943</v>
      </c>
      <c r="AG51" s="7">
        <f t="shared" si="94"/>
        <v>8.3499999999999943</v>
      </c>
      <c r="AH51" s="7">
        <f t="shared" si="94"/>
        <v>8.3249999999999993</v>
      </c>
      <c r="AI51" s="7">
        <f t="shared" si="94"/>
        <v>8.3249999999999993</v>
      </c>
      <c r="AJ51" s="7">
        <f t="shared" si="94"/>
        <v>8.3249999999999993</v>
      </c>
    </row>
    <row r="52" spans="1:37" x14ac:dyDescent="0.25">
      <c r="A52" s="33" t="s">
        <v>44</v>
      </c>
      <c r="B52" s="7">
        <f t="shared" si="93"/>
        <v>0</v>
      </c>
      <c r="C52" s="7">
        <f t="shared" si="93"/>
        <v>0</v>
      </c>
      <c r="D52" s="7">
        <f t="shared" si="93"/>
        <v>0</v>
      </c>
      <c r="E52" s="7">
        <f t="shared" si="93"/>
        <v>0</v>
      </c>
      <c r="F52" s="7">
        <f t="shared" si="93"/>
        <v>0</v>
      </c>
      <c r="G52" s="7">
        <f t="shared" si="93"/>
        <v>293.10000000000002</v>
      </c>
      <c r="H52" s="7">
        <f t="shared" si="93"/>
        <v>418.5</v>
      </c>
      <c r="I52" s="7"/>
      <c r="J52" s="7"/>
      <c r="K52" s="7"/>
      <c r="L52" s="7"/>
      <c r="M52" s="7"/>
      <c r="N52" s="7">
        <f t="shared" ref="N52:AJ52" si="95">-N74</f>
        <v>0</v>
      </c>
      <c r="O52" s="7">
        <f t="shared" si="95"/>
        <v>0</v>
      </c>
      <c r="P52" s="7">
        <f t="shared" si="95"/>
        <v>0</v>
      </c>
      <c r="Q52" s="7">
        <f t="shared" si="95"/>
        <v>0</v>
      </c>
      <c r="R52" s="7">
        <f t="shared" si="95"/>
        <v>0</v>
      </c>
      <c r="S52" s="7">
        <f t="shared" si="95"/>
        <v>0</v>
      </c>
      <c r="T52" s="7">
        <f t="shared" si="95"/>
        <v>0</v>
      </c>
      <c r="U52" s="7">
        <f t="shared" si="95"/>
        <v>0</v>
      </c>
      <c r="V52" s="7">
        <f t="shared" si="95"/>
        <v>0</v>
      </c>
      <c r="W52" s="7">
        <f t="shared" si="95"/>
        <v>0</v>
      </c>
      <c r="X52" s="7">
        <f t="shared" si="95"/>
        <v>0</v>
      </c>
      <c r="Y52" s="7">
        <f t="shared" si="95"/>
        <v>0</v>
      </c>
      <c r="Z52" s="7">
        <f t="shared" si="95"/>
        <v>52.350000000000023</v>
      </c>
      <c r="AA52" s="7">
        <f t="shared" si="95"/>
        <v>80.25</v>
      </c>
      <c r="AB52" s="7">
        <f t="shared" si="95"/>
        <v>80.25</v>
      </c>
      <c r="AC52" s="7">
        <f t="shared" si="95"/>
        <v>80.25</v>
      </c>
      <c r="AD52" s="7">
        <f t="shared" si="95"/>
        <v>104.625</v>
      </c>
      <c r="AE52" s="7">
        <f t="shared" si="95"/>
        <v>104.625</v>
      </c>
      <c r="AF52" s="7">
        <f t="shared" si="95"/>
        <v>104.625</v>
      </c>
      <c r="AG52" s="7">
        <f t="shared" si="95"/>
        <v>104.625</v>
      </c>
      <c r="AH52" s="7">
        <f t="shared" si="95"/>
        <v>104.625</v>
      </c>
      <c r="AI52" s="7">
        <f t="shared" si="95"/>
        <v>104.625</v>
      </c>
      <c r="AJ52" s="7">
        <f t="shared" si="95"/>
        <v>104.625</v>
      </c>
    </row>
    <row r="53" spans="1:37" x14ac:dyDescent="0.25">
      <c r="A53" s="33" t="s">
        <v>161</v>
      </c>
      <c r="B53" s="7">
        <f t="shared" ref="B53:H53" si="96">-B82</f>
        <v>144.80000000000001</v>
      </c>
      <c r="C53" s="7">
        <f t="shared" si="96"/>
        <v>142.5</v>
      </c>
      <c r="D53" s="7">
        <f t="shared" si="96"/>
        <v>148.1</v>
      </c>
      <c r="E53" s="7">
        <f t="shared" si="96"/>
        <v>148</v>
      </c>
      <c r="F53" s="7">
        <f t="shared" si="96"/>
        <v>138.5</v>
      </c>
      <c r="G53" s="7">
        <f t="shared" si="96"/>
        <v>141.6</v>
      </c>
      <c r="H53" s="7">
        <f t="shared" si="96"/>
        <v>48.1</v>
      </c>
      <c r="I53" s="7"/>
      <c r="J53" s="7"/>
      <c r="K53" s="7"/>
      <c r="L53" s="7"/>
      <c r="M53" s="7"/>
      <c r="N53" s="7">
        <f t="shared" ref="N53:AJ53" si="97">-N82</f>
        <v>36.075000000000003</v>
      </c>
      <c r="O53" s="7">
        <f t="shared" si="97"/>
        <v>36.674999999999997</v>
      </c>
      <c r="P53" s="7">
        <f t="shared" si="97"/>
        <v>37.674999999999997</v>
      </c>
      <c r="Q53" s="7">
        <f t="shared" si="97"/>
        <v>37.674999999999997</v>
      </c>
      <c r="R53" s="7">
        <f t="shared" si="97"/>
        <v>38.150000000000006</v>
      </c>
      <c r="S53" s="7">
        <f t="shared" si="97"/>
        <v>37.75</v>
      </c>
      <c r="T53" s="7">
        <f t="shared" si="97"/>
        <v>36.650000000000006</v>
      </c>
      <c r="U53" s="7">
        <f t="shared" si="97"/>
        <v>35.35</v>
      </c>
      <c r="V53" s="7">
        <f t="shared" si="97"/>
        <v>34.875</v>
      </c>
      <c r="W53" s="7">
        <f t="shared" si="97"/>
        <v>34.474999999999994</v>
      </c>
      <c r="X53" s="7">
        <f t="shared" si="97"/>
        <v>34.674999999999997</v>
      </c>
      <c r="Y53" s="7">
        <f t="shared" si="97"/>
        <v>34.274999999999999</v>
      </c>
      <c r="Z53" s="7">
        <f t="shared" si="97"/>
        <v>8.6249999999999858</v>
      </c>
      <c r="AA53" s="7">
        <f t="shared" si="97"/>
        <v>40.125</v>
      </c>
      <c r="AB53" s="7">
        <f t="shared" si="97"/>
        <v>44.625</v>
      </c>
      <c r="AC53" s="7">
        <f t="shared" si="97"/>
        <v>48.125</v>
      </c>
      <c r="AD53" s="7">
        <f t="shared" si="97"/>
        <v>19.224999999999994</v>
      </c>
      <c r="AE53" s="7">
        <f t="shared" si="97"/>
        <v>13.125</v>
      </c>
      <c r="AF53" s="7">
        <f t="shared" si="97"/>
        <v>8.2250000000000085</v>
      </c>
      <c r="AG53" s="7">
        <f t="shared" si="97"/>
        <v>7.3250000000000028</v>
      </c>
      <c r="AH53" s="7">
        <f t="shared" si="97"/>
        <v>7.0500000000000007</v>
      </c>
      <c r="AI53" s="7">
        <f t="shared" si="97"/>
        <v>7.4500000000000064</v>
      </c>
      <c r="AJ53" s="7">
        <f t="shared" si="97"/>
        <v>5.5499999999999972</v>
      </c>
    </row>
    <row r="54" spans="1:37" x14ac:dyDescent="0.25">
      <c r="A54" s="34" t="s">
        <v>147</v>
      </c>
      <c r="B54" s="34">
        <f t="shared" ref="B54:H54" si="98">+B24+SUM(B51:B53)</f>
        <v>-1443.1999999999998</v>
      </c>
      <c r="C54" s="34">
        <f t="shared" si="98"/>
        <v>-1852.6999999999998</v>
      </c>
      <c r="D54" s="34">
        <f t="shared" si="98"/>
        <v>-1617.9999999999995</v>
      </c>
      <c r="E54" s="34">
        <f t="shared" si="98"/>
        <v>-1477.1000000000001</v>
      </c>
      <c r="F54" s="34">
        <f t="shared" si="98"/>
        <v>-2563.5000000000009</v>
      </c>
      <c r="G54" s="34">
        <f t="shared" si="98"/>
        <v>-1771.3999999999996</v>
      </c>
      <c r="H54" s="34">
        <f t="shared" si="98"/>
        <v>-714.69999999999982</v>
      </c>
      <c r="I54" s="12"/>
      <c r="J54" s="34"/>
      <c r="K54" s="34"/>
      <c r="L54" s="34"/>
      <c r="M54" s="34"/>
      <c r="N54" s="34">
        <f t="shared" ref="N54:AJ54" si="99">+N24+SUM(N51:N53)</f>
        <v>-300.29999999999995</v>
      </c>
      <c r="O54" s="34">
        <f t="shared" si="99"/>
        <v>-351.69999999999993</v>
      </c>
      <c r="P54" s="34">
        <f t="shared" si="99"/>
        <v>-453.99999999999994</v>
      </c>
      <c r="Q54" s="34">
        <f t="shared" si="99"/>
        <v>-512.00000000000011</v>
      </c>
      <c r="R54" s="34">
        <f t="shared" si="99"/>
        <v>-277.40000000000003</v>
      </c>
      <c r="S54" s="34">
        <f t="shared" si="99"/>
        <v>-302.7999999999999</v>
      </c>
      <c r="T54" s="34">
        <f t="shared" si="99"/>
        <v>-411.3</v>
      </c>
      <c r="U54" s="34">
        <f t="shared" si="99"/>
        <v>-485.9000000000002</v>
      </c>
      <c r="V54" s="34">
        <f t="shared" si="99"/>
        <v>-709.20000000000027</v>
      </c>
      <c r="W54" s="34">
        <f t="shared" si="99"/>
        <v>-688.3000000000003</v>
      </c>
      <c r="X54" s="34">
        <f t="shared" si="99"/>
        <v>-552.59999999999991</v>
      </c>
      <c r="Y54" s="34">
        <f t="shared" si="99"/>
        <v>-613.6999999999997</v>
      </c>
      <c r="Z54" s="34">
        <f t="shared" si="99"/>
        <v>-569.50000000000011</v>
      </c>
      <c r="AA54" s="34">
        <f t="shared" si="99"/>
        <v>-499.30000000000013</v>
      </c>
      <c r="AB54" s="34">
        <f t="shared" si="99"/>
        <v>-406.3</v>
      </c>
      <c r="AC54" s="34">
        <f t="shared" si="99"/>
        <v>-296.49999999999926</v>
      </c>
      <c r="AD54" s="34">
        <f t="shared" si="99"/>
        <v>-266.3000000000003</v>
      </c>
      <c r="AE54" s="34">
        <f t="shared" si="99"/>
        <v>-81.000000000000114</v>
      </c>
      <c r="AF54" s="34">
        <f t="shared" si="99"/>
        <v>-119.40000000000019</v>
      </c>
      <c r="AG54" s="34">
        <f t="shared" si="99"/>
        <v>-248.20000000000027</v>
      </c>
      <c r="AH54" s="34">
        <f t="shared" si="99"/>
        <v>-245.80000000000018</v>
      </c>
      <c r="AI54" s="34">
        <f t="shared" si="99"/>
        <v>-196.49299999999991</v>
      </c>
      <c r="AJ54" s="34">
        <f t="shared" si="99"/>
        <v>-48.599999999999795</v>
      </c>
      <c r="AK54" s="34"/>
    </row>
    <row r="55" spans="1:37" s="36" customFormat="1" x14ac:dyDescent="0.25">
      <c r="A55" s="35" t="s">
        <v>151</v>
      </c>
      <c r="B55" s="32">
        <f>B54/B$9</f>
        <v>-1.1849905575170372</v>
      </c>
      <c r="C55" s="32">
        <f t="shared" ref="C55:H55" si="100">C54/C$9</f>
        <v>-0.96399396430615525</v>
      </c>
      <c r="D55" s="32">
        <f t="shared" si="100"/>
        <v>-0.52200283907600964</v>
      </c>
      <c r="E55" s="32">
        <f t="shared" si="100"/>
        <v>-0.25733897803097616</v>
      </c>
      <c r="F55" s="32">
        <f t="shared" si="100"/>
        <v>-0.37335061606128583</v>
      </c>
      <c r="G55" s="32">
        <f t="shared" si="100"/>
        <v>-0.19050384470613535</v>
      </c>
      <c r="H55" s="32">
        <f t="shared" si="100"/>
        <v>-6.8027146134150618E-2</v>
      </c>
      <c r="I55" s="32"/>
      <c r="J55" s="32"/>
      <c r="K55" s="32"/>
      <c r="L55" s="32"/>
      <c r="M55" s="32"/>
      <c r="N55" s="32">
        <f t="shared" ref="N55" si="101">N54/N$9</f>
        <v>-0.57026205848841627</v>
      </c>
      <c r="O55" s="32">
        <f t="shared" ref="O55" si="102">O54/O$9</f>
        <v>-0.51335571449423434</v>
      </c>
      <c r="P55" s="32">
        <f t="shared" ref="P55" si="103">P54/P$9</f>
        <v>-0.64718460441910186</v>
      </c>
      <c r="Q55" s="32">
        <f t="shared" ref="Q55" si="104">Q54/Q$9</f>
        <v>-0.43155765340525964</v>
      </c>
      <c r="R55" s="32">
        <f t="shared" ref="R55" si="105">R54/R$9</f>
        <v>-0.25229649840836749</v>
      </c>
      <c r="S55" s="32">
        <f t="shared" ref="S55" si="106">S54/S$9</f>
        <v>-0.22889107264343478</v>
      </c>
      <c r="T55" s="32">
        <f t="shared" ref="T55" si="107">T54/T$9</f>
        <v>-0.3160442600276625</v>
      </c>
      <c r="U55" s="32">
        <f t="shared" ref="U55" si="108">U54/U$9</f>
        <v>-0.24103378143757143</v>
      </c>
      <c r="V55" s="32">
        <f t="shared" ref="V55" si="109">V54/V$9</f>
        <v>-0.42401052253975863</v>
      </c>
      <c r="W55" s="32">
        <f t="shared" ref="W55" si="110">W54/W$9</f>
        <v>-0.46680230586639559</v>
      </c>
      <c r="X55" s="32">
        <f t="shared" ref="X55" si="111">X54/X$9</f>
        <v>-0.32764140875133396</v>
      </c>
      <c r="Y55" s="32">
        <f t="shared" ref="Y55" si="112">Y54/Y$9</f>
        <v>-0.30201771653543291</v>
      </c>
      <c r="Z55" s="32">
        <f t="shared" ref="Z55" si="113">Z54/Z$9</f>
        <v>-0.28120679439067753</v>
      </c>
      <c r="AA55" s="32">
        <f t="shared" ref="AA55" si="114">AA54/AA$9</f>
        <v>-0.21889522139412543</v>
      </c>
      <c r="AB55" s="32">
        <f t="shared" ref="AB55" si="115">AB54/AB$9</f>
        <v>-0.17071428571428571</v>
      </c>
      <c r="AC55" s="32">
        <f t="shared" ref="AC55" si="116">AC54/AC$9</f>
        <v>-0.11351889429151164</v>
      </c>
      <c r="AD55" s="32">
        <f t="shared" ref="AD55" si="117">AD54/AD$9</f>
        <v>-0.10503273645184205</v>
      </c>
      <c r="AE55" s="32">
        <f t="shared" ref="AE55" si="118">AE54/AE$9</f>
        <v>-3.1192236598890991E-2</v>
      </c>
      <c r="AF55" s="32">
        <f t="shared" ref="AF55" si="119">AF54/AF$9</f>
        <v>-4.5542968303009572E-2</v>
      </c>
      <c r="AG55" s="32">
        <f t="shared" ref="AG55" si="120">AG54/AG$9</f>
        <v>-9.018567639257305E-2</v>
      </c>
      <c r="AH55" s="32">
        <f t="shared" ref="AH55" si="121">AH54/AH$9</f>
        <v>-0.10025696455520668</v>
      </c>
      <c r="AI55" s="32">
        <f t="shared" ref="AI55" si="122">AI54/AI$9</f>
        <v>-8.3617351665406292E-2</v>
      </c>
      <c r="AJ55" s="32">
        <f t="shared" ref="AJ55" si="123">AJ54/AJ$9</f>
        <v>-2.0004939491232318E-2</v>
      </c>
      <c r="AK55" s="32"/>
    </row>
    <row r="56" spans="1:37" s="36" customFormat="1" x14ac:dyDescent="0.25">
      <c r="A56" s="35"/>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25"/>
      <c r="AH56" s="32"/>
      <c r="AI56" s="32"/>
      <c r="AJ56" s="32"/>
      <c r="AK56" s="32"/>
    </row>
    <row r="57" spans="1:37" x14ac:dyDescent="0.25">
      <c r="A57" s="33" t="s">
        <v>67</v>
      </c>
      <c r="B57" s="7"/>
      <c r="C57" s="7"/>
      <c r="D57" s="7"/>
      <c r="E57" s="7">
        <f>+E46</f>
        <v>360</v>
      </c>
      <c r="F57" s="7">
        <f t="shared" ref="F57:H57" si="124">+F46</f>
        <v>207.9</v>
      </c>
      <c r="G57" s="7">
        <f t="shared" si="124"/>
        <v>218.7</v>
      </c>
      <c r="H57" s="7">
        <f t="shared" si="124"/>
        <v>163.1</v>
      </c>
      <c r="I57" s="7"/>
      <c r="J57" s="7"/>
      <c r="K57" s="7"/>
      <c r="L57" s="7"/>
      <c r="M57" s="7"/>
      <c r="N57" s="7">
        <f t="shared" ref="N57:AJ57" si="125">+N46</f>
        <v>12.100000000000001</v>
      </c>
      <c r="O57" s="7">
        <f t="shared" si="125"/>
        <v>12.2</v>
      </c>
      <c r="P57" s="7">
        <f t="shared" si="125"/>
        <v>13.4</v>
      </c>
      <c r="Q57" s="7">
        <f t="shared" si="125"/>
        <v>13.299999999999997</v>
      </c>
      <c r="R57" s="7">
        <f t="shared" si="125"/>
        <v>40.4</v>
      </c>
      <c r="S57" s="7">
        <f t="shared" si="125"/>
        <v>181.5</v>
      </c>
      <c r="T57" s="7">
        <f t="shared" si="125"/>
        <v>66</v>
      </c>
      <c r="U57" s="7">
        <f t="shared" si="125"/>
        <v>72.100000000000023</v>
      </c>
      <c r="V57" s="7">
        <f t="shared" si="125"/>
        <v>50.1</v>
      </c>
      <c r="W57" s="7">
        <f t="shared" si="125"/>
        <v>49.5</v>
      </c>
      <c r="X57" s="7">
        <f t="shared" si="125"/>
        <v>50.6</v>
      </c>
      <c r="Y57" s="7">
        <f t="shared" si="125"/>
        <v>57.700000000000017</v>
      </c>
      <c r="Z57" s="7">
        <f t="shared" si="125"/>
        <v>55</v>
      </c>
      <c r="AA57" s="7">
        <f t="shared" si="125"/>
        <v>55.7</v>
      </c>
      <c r="AB57" s="7">
        <f t="shared" si="125"/>
        <v>52.1</v>
      </c>
      <c r="AC57" s="7">
        <f t="shared" si="125"/>
        <v>55.899999999999977</v>
      </c>
      <c r="AD57" s="7">
        <f t="shared" si="125"/>
        <v>37.4</v>
      </c>
      <c r="AE57" s="7">
        <f t="shared" si="125"/>
        <v>42.2</v>
      </c>
      <c r="AF57" s="7">
        <f t="shared" si="125"/>
        <v>36.799999999999997</v>
      </c>
      <c r="AG57" s="7">
        <f t="shared" si="125"/>
        <v>46.7</v>
      </c>
      <c r="AH57" s="7">
        <f t="shared" si="125"/>
        <v>15.1</v>
      </c>
      <c r="AI57" s="7">
        <f t="shared" si="125"/>
        <v>25.5</v>
      </c>
      <c r="AJ57" s="7">
        <f t="shared" si="125"/>
        <v>21.4</v>
      </c>
    </row>
    <row r="58" spans="1:37" x14ac:dyDescent="0.25">
      <c r="A58" s="34" t="s">
        <v>218</v>
      </c>
      <c r="B58" s="34"/>
      <c r="C58" s="34"/>
      <c r="D58" s="34"/>
      <c r="E58" s="34">
        <f>+E57+E54</f>
        <v>-1117.1000000000001</v>
      </c>
      <c r="F58" s="34">
        <f t="shared" ref="F58:H58" si="126">+F57+F54</f>
        <v>-2355.6000000000008</v>
      </c>
      <c r="G58" s="34">
        <f t="shared" si="126"/>
        <v>-1552.6999999999996</v>
      </c>
      <c r="H58" s="34">
        <f t="shared" si="126"/>
        <v>-551.5999999999998</v>
      </c>
      <c r="I58" s="12"/>
      <c r="J58" s="34"/>
      <c r="K58" s="34"/>
      <c r="L58" s="34"/>
      <c r="M58" s="34"/>
      <c r="N58" s="34">
        <f t="shared" ref="N58" si="127">+N57+N54</f>
        <v>-288.19999999999993</v>
      </c>
      <c r="O58" s="34">
        <f t="shared" ref="O58" si="128">+O57+O54</f>
        <v>-339.49999999999994</v>
      </c>
      <c r="P58" s="34">
        <f t="shared" ref="P58" si="129">+P57+P54</f>
        <v>-440.59999999999997</v>
      </c>
      <c r="Q58" s="34">
        <f t="shared" ref="Q58" si="130">+Q57+Q54</f>
        <v>-498.7000000000001</v>
      </c>
      <c r="R58" s="34">
        <f t="shared" ref="R58" si="131">+R57+R54</f>
        <v>-237.00000000000003</v>
      </c>
      <c r="S58" s="34">
        <f t="shared" ref="S58" si="132">+S57+S54</f>
        <v>-121.2999999999999</v>
      </c>
      <c r="T58" s="34">
        <f t="shared" ref="T58" si="133">+T57+T54</f>
        <v>-345.3</v>
      </c>
      <c r="U58" s="34">
        <f t="shared" ref="U58" si="134">+U57+U54</f>
        <v>-413.80000000000018</v>
      </c>
      <c r="V58" s="34">
        <f t="shared" ref="V58" si="135">+V57+V54</f>
        <v>-659.10000000000025</v>
      </c>
      <c r="W58" s="34">
        <f t="shared" ref="W58" si="136">+W57+W54</f>
        <v>-638.8000000000003</v>
      </c>
      <c r="X58" s="34">
        <f t="shared" ref="X58" si="137">+X57+X54</f>
        <v>-501.99999999999989</v>
      </c>
      <c r="Y58" s="34">
        <f t="shared" ref="Y58" si="138">+Y57+Y54</f>
        <v>-555.99999999999966</v>
      </c>
      <c r="Z58" s="34">
        <f t="shared" ref="Z58" si="139">+Z57+Z54</f>
        <v>-514.50000000000011</v>
      </c>
      <c r="AA58" s="34">
        <f t="shared" ref="AA58" si="140">+AA57+AA54</f>
        <v>-443.60000000000014</v>
      </c>
      <c r="AB58" s="34">
        <f t="shared" ref="AB58" si="141">+AB57+AB54</f>
        <v>-354.2</v>
      </c>
      <c r="AC58" s="34">
        <f t="shared" ref="AC58" si="142">+AC57+AC54</f>
        <v>-240.59999999999928</v>
      </c>
      <c r="AD58" s="34">
        <f t="shared" ref="AD58" si="143">+AD57+AD54</f>
        <v>-228.90000000000029</v>
      </c>
      <c r="AE58" s="34">
        <f t="shared" ref="AE58" si="144">+AE57+AE54</f>
        <v>-38.800000000000111</v>
      </c>
      <c r="AF58" s="34">
        <f t="shared" ref="AF58" si="145">+AF57+AF54</f>
        <v>-82.600000000000193</v>
      </c>
      <c r="AG58" s="34">
        <f t="shared" ref="AG58" si="146">+AG57+AG54</f>
        <v>-201.50000000000028</v>
      </c>
      <c r="AH58" s="34">
        <f t="shared" ref="AH58" si="147">+AH57+AH54</f>
        <v>-230.70000000000019</v>
      </c>
      <c r="AI58" s="34">
        <f t="shared" ref="AI58" si="148">+AI57+AI54</f>
        <v>-170.99299999999991</v>
      </c>
      <c r="AJ58" s="34">
        <f t="shared" ref="AJ58" si="149">+AJ57+AJ54</f>
        <v>-27.199999999999797</v>
      </c>
      <c r="AK58" s="34"/>
    </row>
    <row r="59" spans="1:37" s="36" customFormat="1" x14ac:dyDescent="0.25">
      <c r="A59" s="35"/>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25"/>
      <c r="AH59" s="32"/>
      <c r="AI59" s="32"/>
      <c r="AJ59" s="32"/>
      <c r="AK59" s="32"/>
    </row>
    <row r="60" spans="1:37" x14ac:dyDescent="0.25">
      <c r="A60" s="34" t="s">
        <v>270</v>
      </c>
      <c r="B60" s="34">
        <f>+B33+SUM(B51:B53,B57)</f>
        <v>-1386.6</v>
      </c>
      <c r="C60" s="34">
        <f t="shared" ref="C60:H60" si="150">+C33+SUM(C51:C53,C57)</f>
        <v>-1735.9999999999998</v>
      </c>
      <c r="D60" s="34">
        <f t="shared" si="150"/>
        <v>-1462.2999999999995</v>
      </c>
      <c r="E60" s="34">
        <f t="shared" si="150"/>
        <v>-997.60000000000014</v>
      </c>
      <c r="F60" s="34">
        <f t="shared" si="150"/>
        <v>-2091.4000000000015</v>
      </c>
      <c r="G60" s="34">
        <f t="shared" si="150"/>
        <v>-1320.2999999999997</v>
      </c>
      <c r="H60" s="34">
        <f t="shared" si="150"/>
        <v>-336.89999999999975</v>
      </c>
      <c r="I60" s="279"/>
      <c r="J60" s="34"/>
      <c r="K60" s="34"/>
      <c r="L60" s="34"/>
      <c r="M60" s="34"/>
      <c r="N60" s="34">
        <f t="shared" ref="N60:AJ60" si="151">+N33+SUM(N51:N53,N57)</f>
        <v>-260.7</v>
      </c>
      <c r="O60" s="34">
        <f t="shared" si="151"/>
        <v>-252.29999999999995</v>
      </c>
      <c r="P60" s="34">
        <f t="shared" si="151"/>
        <v>-409</v>
      </c>
      <c r="Q60" s="34">
        <f t="shared" si="151"/>
        <v>-489.30000000000013</v>
      </c>
      <c r="R60" s="34">
        <f t="shared" si="151"/>
        <v>-192.30000000000004</v>
      </c>
      <c r="S60" s="34">
        <f t="shared" si="151"/>
        <v>-103.19999999999993</v>
      </c>
      <c r="T60" s="34">
        <f t="shared" si="151"/>
        <v>-322.8</v>
      </c>
      <c r="U60" s="34">
        <f t="shared" si="151"/>
        <v>-379.60000000000014</v>
      </c>
      <c r="V60" s="34">
        <f t="shared" si="151"/>
        <v>-616.90000000000032</v>
      </c>
      <c r="W60" s="34">
        <f t="shared" si="151"/>
        <v>-548.10000000000025</v>
      </c>
      <c r="X60" s="34">
        <f t="shared" si="151"/>
        <v>-449.29999999999984</v>
      </c>
      <c r="Y60" s="34">
        <f t="shared" si="151"/>
        <v>-477.39999999999969</v>
      </c>
      <c r="Z60" s="34">
        <f t="shared" si="151"/>
        <v>-479.90000000000003</v>
      </c>
      <c r="AA60" s="34">
        <f t="shared" si="151"/>
        <v>-394.30000000000007</v>
      </c>
      <c r="AB60" s="34">
        <f t="shared" si="151"/>
        <v>-269.20000000000005</v>
      </c>
      <c r="AC60" s="34">
        <f t="shared" si="151"/>
        <v>-177.09999999999928</v>
      </c>
      <c r="AD60" s="34">
        <f t="shared" si="151"/>
        <v>-180.7000000000003</v>
      </c>
      <c r="AE60" s="34">
        <f t="shared" si="151"/>
        <v>9.5999999999999091</v>
      </c>
      <c r="AF60" s="34">
        <f t="shared" si="151"/>
        <v>-7.9000000000002046</v>
      </c>
      <c r="AG60" s="34">
        <f t="shared" si="151"/>
        <v>-158.10000000000031</v>
      </c>
      <c r="AH60" s="34">
        <f t="shared" si="151"/>
        <v>-193.10000000000016</v>
      </c>
      <c r="AI60" s="34">
        <f t="shared" si="151"/>
        <v>-140.29299999999992</v>
      </c>
      <c r="AJ60" s="34">
        <f t="shared" si="151"/>
        <v>2.500000000000199</v>
      </c>
      <c r="AK60" s="34"/>
    </row>
    <row r="61" spans="1:37" s="36" customFormat="1" x14ac:dyDescent="0.25">
      <c r="A61" s="35"/>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25"/>
      <c r="AH61" s="32"/>
      <c r="AI61" s="32"/>
      <c r="AJ61" s="32"/>
      <c r="AK61" s="32"/>
    </row>
    <row r="62" spans="1:37" s="36" customFormat="1" x14ac:dyDescent="0.25">
      <c r="A62" s="276" t="s">
        <v>271</v>
      </c>
      <c r="B62" s="32"/>
      <c r="C62" s="32"/>
      <c r="D62" s="32"/>
      <c r="E62" s="32"/>
      <c r="F62" s="32"/>
      <c r="G62" s="32"/>
      <c r="H62" s="32"/>
      <c r="I62" s="47"/>
      <c r="J62" s="32"/>
      <c r="K62" s="32"/>
      <c r="L62" s="32"/>
      <c r="M62" s="32"/>
      <c r="N62" s="32"/>
      <c r="O62" s="32"/>
      <c r="P62" s="32"/>
      <c r="Q62" s="32"/>
      <c r="R62" s="32"/>
      <c r="S62" s="32"/>
      <c r="T62" s="32"/>
      <c r="U62" s="32"/>
      <c r="V62" s="32"/>
      <c r="W62" s="32"/>
      <c r="X62" s="32"/>
      <c r="Y62" s="32"/>
      <c r="Z62" s="32"/>
      <c r="AA62" s="32"/>
      <c r="AB62" s="32"/>
      <c r="AC62" s="32"/>
      <c r="AD62" s="32"/>
      <c r="AE62" s="32"/>
      <c r="AF62" s="32"/>
      <c r="AG62" s="25"/>
      <c r="AH62" s="32"/>
      <c r="AI62" s="32"/>
      <c r="AJ62" s="32"/>
      <c r="AK62" s="32"/>
    </row>
    <row r="63" spans="1:37" x14ac:dyDescent="0.25">
      <c r="A63" s="131" t="s">
        <v>272</v>
      </c>
      <c r="B63" s="7">
        <f>B264+B266</f>
        <v>-1223.6999999999998</v>
      </c>
      <c r="C63" s="7">
        <f t="shared" ref="C63:H63" si="152">C264+C266</f>
        <v>-1852.1</v>
      </c>
      <c r="D63" s="7">
        <f t="shared" si="152"/>
        <v>-1329.5</v>
      </c>
      <c r="E63" s="7">
        <f t="shared" si="152"/>
        <v>-1132</v>
      </c>
      <c r="F63" s="7">
        <f t="shared" si="152"/>
        <v>-2674.3</v>
      </c>
      <c r="G63" s="7">
        <f t="shared" si="152"/>
        <v>-949.1</v>
      </c>
      <c r="H63" s="7">
        <f t="shared" si="152"/>
        <v>-388</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row>
    <row r="64" spans="1:37" s="138" customFormat="1" x14ac:dyDescent="0.25">
      <c r="A64" s="277" t="s">
        <v>273</v>
      </c>
      <c r="B64" s="278">
        <f>B60-B63</f>
        <v>-162.90000000000009</v>
      </c>
      <c r="C64" s="278">
        <f t="shared" ref="C64:H64" si="153">C60-C63</f>
        <v>116.10000000000014</v>
      </c>
      <c r="D64" s="278">
        <f t="shared" si="153"/>
        <v>-132.7999999999995</v>
      </c>
      <c r="E64" s="278">
        <f t="shared" si="153"/>
        <v>134.39999999999986</v>
      </c>
      <c r="F64" s="278">
        <f t="shared" si="153"/>
        <v>582.89999999999873</v>
      </c>
      <c r="G64" s="278">
        <f t="shared" si="153"/>
        <v>-371.1999999999997</v>
      </c>
      <c r="H64" s="278">
        <f t="shared" si="153"/>
        <v>51.10000000000025</v>
      </c>
      <c r="I64" s="278">
        <f>SUM(B64:H64)</f>
        <v>217.59999999999968</v>
      </c>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row>
    <row r="65" spans="1:40" s="36" customFormat="1" x14ac:dyDescent="0.25">
      <c r="A65" s="35"/>
      <c r="B65" s="32"/>
      <c r="C65" s="32"/>
      <c r="D65" s="32"/>
      <c r="E65" s="32"/>
      <c r="F65" s="32"/>
      <c r="G65" s="32"/>
      <c r="H65" s="32"/>
      <c r="I65" s="32">
        <f>I64/SUM(B60:H60)</f>
        <v>-2.331986582503667E-2</v>
      </c>
      <c r="J65" s="32"/>
      <c r="K65" s="32"/>
      <c r="L65" s="32"/>
      <c r="M65" s="32"/>
      <c r="N65" s="32"/>
      <c r="O65" s="32"/>
      <c r="P65" s="32"/>
      <c r="Q65" s="32"/>
      <c r="R65" s="32"/>
      <c r="S65" s="32"/>
      <c r="T65" s="32"/>
      <c r="U65" s="32"/>
      <c r="V65" s="32"/>
      <c r="W65" s="32"/>
      <c r="X65" s="32"/>
      <c r="Y65" s="32"/>
      <c r="Z65" s="32"/>
      <c r="AA65" s="32"/>
      <c r="AB65" s="32"/>
      <c r="AC65" s="32"/>
      <c r="AD65" s="32"/>
      <c r="AE65" s="32"/>
      <c r="AF65" s="32"/>
      <c r="AG65" s="25"/>
      <c r="AH65" s="32"/>
      <c r="AI65" s="32"/>
      <c r="AJ65" s="32"/>
      <c r="AK65" s="32"/>
    </row>
    <row r="66" spans="1:40" s="36" customFormat="1" ht="15.75" x14ac:dyDescent="0.25">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25"/>
      <c r="AH66" s="32"/>
      <c r="AI66" s="32"/>
      <c r="AJ66" s="32"/>
      <c r="AK66" s="32"/>
      <c r="AN66" s="330"/>
    </row>
    <row r="67" spans="1:40" s="36" customFormat="1" x14ac:dyDescent="0.25">
      <c r="A67" s="35"/>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25"/>
      <c r="AH67" s="32"/>
      <c r="AI67" s="32"/>
      <c r="AJ67" s="32"/>
      <c r="AK67" s="32"/>
    </row>
    <row r="68" spans="1:40" x14ac:dyDescent="0.25">
      <c r="A68" s="51" t="s">
        <v>159</v>
      </c>
      <c r="B68" s="1">
        <v>2017</v>
      </c>
      <c r="C68" s="1">
        <v>2018</v>
      </c>
      <c r="D68" s="1">
        <v>2019</v>
      </c>
      <c r="E68" s="1">
        <v>2020</v>
      </c>
      <c r="F68" s="1">
        <v>2021</v>
      </c>
      <c r="G68" s="1">
        <v>2022</v>
      </c>
      <c r="H68" s="1">
        <v>2023</v>
      </c>
      <c r="I68" s="1"/>
      <c r="J68" s="1" t="s">
        <v>1</v>
      </c>
      <c r="K68" s="1" t="s">
        <v>2</v>
      </c>
      <c r="L68" s="1" t="s">
        <v>3</v>
      </c>
      <c r="M68" s="1" t="s">
        <v>4</v>
      </c>
      <c r="N68" s="1" t="s">
        <v>5</v>
      </c>
      <c r="O68" s="1" t="s">
        <v>6</v>
      </c>
      <c r="P68" s="1" t="s">
        <v>7</v>
      </c>
      <c r="Q68" s="2" t="s">
        <v>8</v>
      </c>
      <c r="R68" s="1" t="s">
        <v>9</v>
      </c>
      <c r="S68" s="1" t="s">
        <v>10</v>
      </c>
      <c r="T68" s="1" t="s">
        <v>11</v>
      </c>
      <c r="U68" s="1" t="s">
        <v>12</v>
      </c>
      <c r="V68" s="1" t="s">
        <v>13</v>
      </c>
      <c r="W68" s="1" t="s">
        <v>14</v>
      </c>
      <c r="X68" s="1" t="s">
        <v>15</v>
      </c>
      <c r="Y68" s="1" t="s">
        <v>16</v>
      </c>
      <c r="Z68" s="1" t="s">
        <v>17</v>
      </c>
      <c r="AA68" s="1" t="s">
        <v>18</v>
      </c>
      <c r="AB68" s="1" t="s">
        <v>19</v>
      </c>
      <c r="AC68" s="2" t="s">
        <v>20</v>
      </c>
      <c r="AD68" s="1" t="s">
        <v>21</v>
      </c>
      <c r="AE68" s="1" t="s">
        <v>22</v>
      </c>
      <c r="AF68" s="1" t="s">
        <v>23</v>
      </c>
      <c r="AG68" s="2" t="s">
        <v>24</v>
      </c>
      <c r="AH68" s="1" t="s">
        <v>25</v>
      </c>
      <c r="AI68" s="1" t="s">
        <v>26</v>
      </c>
      <c r="AJ68" s="1" t="s">
        <v>27</v>
      </c>
    </row>
    <row r="69" spans="1:40" s="3" customFormat="1" x14ac:dyDescent="0.25">
      <c r="A69" s="83" t="s">
        <v>39</v>
      </c>
      <c r="B69" s="43">
        <v>-1592.6</v>
      </c>
      <c r="C69" s="43">
        <v>-2044.1</v>
      </c>
      <c r="D69" s="43">
        <v>-2845.8</v>
      </c>
      <c r="E69" s="43">
        <v>-4721.3</v>
      </c>
      <c r="F69" s="43">
        <v>-5139.1000000000004</v>
      </c>
      <c r="G69" s="43">
        <f>-5743+70</f>
        <v>-5673</v>
      </c>
      <c r="H69" s="43">
        <v>-6530.3</v>
      </c>
      <c r="I69" s="9"/>
      <c r="J69" s="8"/>
      <c r="K69" s="8"/>
      <c r="L69" s="8"/>
      <c r="M69" s="8"/>
      <c r="N69" s="8">
        <f>D69-SUM(O69:Q69)</f>
        <v>-489.59999999999991</v>
      </c>
      <c r="O69" s="43">
        <v>-615.6</v>
      </c>
      <c r="P69" s="43">
        <v>-657.3</v>
      </c>
      <c r="Q69" s="43">
        <f>D69+1762.5</f>
        <v>-1083.3000000000002</v>
      </c>
      <c r="R69" s="43">
        <v>-965.7</v>
      </c>
      <c r="S69" s="43">
        <v>-1100.0999999999999</v>
      </c>
      <c r="T69" s="43">
        <v>-1018.1</v>
      </c>
      <c r="U69" s="8">
        <f>E69-SUM(R69:T69)</f>
        <v>-1637.4</v>
      </c>
      <c r="V69" s="43">
        <v>-1394.9</v>
      </c>
      <c r="W69" s="43">
        <v>-1136.4000000000001</v>
      </c>
      <c r="X69" s="43">
        <v>-1235.7</v>
      </c>
      <c r="Y69" s="43">
        <v>-1371.8</v>
      </c>
      <c r="Z69" s="43">
        <v>-1270.2</v>
      </c>
      <c r="AA69" s="43">
        <v>-1431.2</v>
      </c>
      <c r="AB69" s="43">
        <v>-1466.8</v>
      </c>
      <c r="AC69" s="43">
        <f>-1574.6+70</f>
        <v>-1504.6</v>
      </c>
      <c r="AD69" s="43">
        <f>-1437.2+40</f>
        <v>-1397.2</v>
      </c>
      <c r="AE69" s="43">
        <f>-1716.8+213.7</f>
        <v>-1503.1</v>
      </c>
      <c r="AF69" s="43">
        <f>-1955.9+244.7</f>
        <v>-1711.2</v>
      </c>
      <c r="AG69" s="43">
        <f>-1918.9</f>
        <v>-1918.9</v>
      </c>
      <c r="AH69" s="43">
        <f>-1840</f>
        <v>-1840</v>
      </c>
      <c r="AI69" s="43">
        <v>-1735.7</v>
      </c>
      <c r="AJ69" s="43">
        <v>-1731.6</v>
      </c>
    </row>
    <row r="70" spans="1:40" s="3" customFormat="1" x14ac:dyDescent="0.25">
      <c r="A70" s="83" t="s">
        <v>40</v>
      </c>
      <c r="B70" s="43">
        <v>-48.8</v>
      </c>
      <c r="C70" s="43">
        <v>-97.1</v>
      </c>
      <c r="D70" s="43">
        <v>-49.6</v>
      </c>
      <c r="E70" s="43">
        <v>-67.099999999999994</v>
      </c>
      <c r="F70" s="43">
        <v>-60.3</v>
      </c>
      <c r="G70" s="43">
        <v>-77.400000000000006</v>
      </c>
      <c r="H70" s="43">
        <f>-47.4</f>
        <v>-47.4</v>
      </c>
      <c r="I70" s="9" t="s">
        <v>41</v>
      </c>
      <c r="J70" s="8"/>
      <c r="K70" s="8"/>
      <c r="L70" s="8"/>
      <c r="M70" s="8"/>
      <c r="N70" s="8">
        <f>D70-SUM(O70:Q70)</f>
        <v>-8</v>
      </c>
      <c r="O70" s="43">
        <v>-12.9</v>
      </c>
      <c r="P70" s="43">
        <v>-12.3</v>
      </c>
      <c r="Q70" s="43">
        <f>D70+33.2</f>
        <v>-16.399999999999999</v>
      </c>
      <c r="R70" s="43">
        <v>-11</v>
      </c>
      <c r="S70" s="43">
        <v>-19</v>
      </c>
      <c r="T70" s="43">
        <v>-16.5</v>
      </c>
      <c r="U70" s="8">
        <f>E70-SUM(R70:T70)</f>
        <v>-20.599999999999994</v>
      </c>
      <c r="V70" s="43">
        <v>-12.6</v>
      </c>
      <c r="W70" s="43">
        <v>-12.7</v>
      </c>
      <c r="X70" s="43">
        <v>-19.7</v>
      </c>
      <c r="Y70" s="43">
        <v>-15.2</v>
      </c>
      <c r="Z70" s="43">
        <v>-14</v>
      </c>
      <c r="AA70" s="43">
        <v>-27.7</v>
      </c>
      <c r="AB70" s="43">
        <v>-15.5</v>
      </c>
      <c r="AC70" s="43">
        <v>-20.100000000000001</v>
      </c>
      <c r="AD70" s="43">
        <v>-12.9</v>
      </c>
      <c r="AE70" s="43">
        <v>-5.9</v>
      </c>
      <c r="AF70" s="43">
        <f>-9.7</f>
        <v>-9.6999999999999993</v>
      </c>
      <c r="AG70" s="43">
        <f>-18.7</f>
        <v>-18.7</v>
      </c>
      <c r="AH70" s="43">
        <f>-14.5</f>
        <v>-14.5</v>
      </c>
      <c r="AI70" s="43">
        <v>-15.8</v>
      </c>
      <c r="AJ70" s="43">
        <v>-9.5</v>
      </c>
    </row>
    <row r="71" spans="1:40" x14ac:dyDescent="0.25">
      <c r="A71" s="10"/>
      <c r="B71" s="11"/>
      <c r="C71" s="11"/>
      <c r="D71" s="11"/>
      <c r="E71" s="11"/>
      <c r="F71" s="11"/>
      <c r="G71" s="11"/>
      <c r="H71" s="11"/>
      <c r="I71" s="12"/>
      <c r="J71" s="7"/>
      <c r="K71" s="7"/>
      <c r="L71" s="7"/>
      <c r="M71" s="7"/>
      <c r="N71" s="7"/>
      <c r="O71" s="11"/>
      <c r="P71" s="11"/>
      <c r="Q71" s="7"/>
      <c r="R71" s="11"/>
      <c r="S71" s="11"/>
      <c r="T71" s="11"/>
      <c r="U71" s="7"/>
      <c r="V71" s="11"/>
      <c r="W71" s="11"/>
      <c r="X71" s="11"/>
      <c r="Y71" s="11"/>
      <c r="Z71" s="11"/>
      <c r="AA71" s="11"/>
      <c r="AB71" s="11"/>
      <c r="AC71" s="11"/>
      <c r="AD71" s="11"/>
      <c r="AE71" s="11"/>
      <c r="AF71" s="11"/>
      <c r="AG71" s="11"/>
      <c r="AH71" s="11"/>
      <c r="AI71" s="11"/>
      <c r="AJ71" s="11"/>
    </row>
    <row r="72" spans="1:40" x14ac:dyDescent="0.25">
      <c r="A72" s="10" t="s">
        <v>160</v>
      </c>
      <c r="B72" s="11">
        <v>-362.1</v>
      </c>
      <c r="C72" s="11">
        <v>-782.4</v>
      </c>
      <c r="D72" s="11">
        <v>-937.7</v>
      </c>
      <c r="E72" s="11">
        <v>-1166</v>
      </c>
      <c r="F72" s="11">
        <v>-2223.1</v>
      </c>
      <c r="G72" s="11">
        <v>-2782.5</v>
      </c>
      <c r="H72" s="11">
        <v>-2548.1999999999998</v>
      </c>
      <c r="I72" s="12"/>
      <c r="J72" s="12"/>
      <c r="K72" s="12"/>
      <c r="L72" s="12"/>
      <c r="M72" s="12"/>
      <c r="N72" s="12"/>
      <c r="O72" s="12"/>
      <c r="P72" s="12"/>
      <c r="Q72" s="7"/>
      <c r="R72" s="7"/>
      <c r="S72" s="7"/>
      <c r="T72" s="7"/>
      <c r="U72" s="7">
        <f>U78*U178</f>
        <v>-483.65999999999997</v>
      </c>
      <c r="V72" s="7">
        <f>V78*V178</f>
        <v>-523.03200000000004</v>
      </c>
      <c r="W72" s="7">
        <f>F72-SUM(V72,X72:Y72)</f>
        <v>-466.2679999999998</v>
      </c>
      <c r="X72" s="7">
        <f>X78*X178</f>
        <v>-566.6</v>
      </c>
      <c r="Y72" s="7">
        <f>Y78*Y178</f>
        <v>-667.2</v>
      </c>
      <c r="Z72" s="7">
        <f>Z78*Z178</f>
        <v>-678.30399999999997</v>
      </c>
      <c r="AA72" s="7">
        <f>AA78*AA178</f>
        <v>-670.77</v>
      </c>
      <c r="AB72" s="7">
        <f>AB78*AB178</f>
        <v>-612.72900000000004</v>
      </c>
      <c r="AC72" s="7">
        <f>G72-SUM(Z72:AB72)</f>
        <v>-820.69699999999989</v>
      </c>
      <c r="AD72" s="7">
        <f>AD78*AD178</f>
        <v>-866.30399999999997</v>
      </c>
      <c r="AE72" s="7">
        <f>AE78*AE178</f>
        <v>-662.6160000000001</v>
      </c>
      <c r="AF72" s="7">
        <f>AF78*AF178</f>
        <v>-522.31900000000007</v>
      </c>
      <c r="AG72" s="7">
        <f>H72-SUM(AD72:AF72)</f>
        <v>-496.96099999999979</v>
      </c>
      <c r="AH72" s="7">
        <f>AH78*AH178</f>
        <v>-391.43877032746718</v>
      </c>
      <c r="AI72" s="7">
        <f>AI78*AI178</f>
        <v>-396</v>
      </c>
      <c r="AJ72" s="7">
        <f>AJ78*AJ178</f>
        <v>-330.65024251572322</v>
      </c>
      <c r="AK72" s="252"/>
    </row>
    <row r="73" spans="1:40" x14ac:dyDescent="0.25">
      <c r="A73" s="10" t="s">
        <v>42</v>
      </c>
      <c r="B73" s="11"/>
      <c r="C73" s="11"/>
      <c r="D73" s="11">
        <f>-207.4-D74-D82</f>
        <v>-59.300000000000011</v>
      </c>
      <c r="E73" s="11">
        <f>-182.2-E74-E82</f>
        <v>-34.199999999999989</v>
      </c>
      <c r="F73" s="11">
        <f>-171.8-F82-F74</f>
        <v>-33.300000000000011</v>
      </c>
      <c r="G73" s="11">
        <f>-468-G82-G74</f>
        <v>-33.299999999999955</v>
      </c>
      <c r="H73" s="11">
        <f>-500-H82-H74</f>
        <v>-33.399999999999977</v>
      </c>
      <c r="I73" s="12"/>
      <c r="J73" s="12"/>
      <c r="K73" s="12"/>
      <c r="L73" s="12"/>
      <c r="M73" s="12"/>
      <c r="N73" s="42">
        <f>$D$73/4</f>
        <v>-14.825000000000003</v>
      </c>
      <c r="O73" s="42">
        <f>$D$73/4</f>
        <v>-14.825000000000003</v>
      </c>
      <c r="P73" s="42">
        <f>$D$73/4</f>
        <v>-14.825000000000003</v>
      </c>
      <c r="Q73" s="42">
        <f>$D$73/4</f>
        <v>-14.825000000000003</v>
      </c>
      <c r="R73" s="42">
        <f>$E$73/4</f>
        <v>-8.5499999999999972</v>
      </c>
      <c r="S73" s="42">
        <f>$E$73/4</f>
        <v>-8.5499999999999972</v>
      </c>
      <c r="T73" s="42">
        <f>$E$73/4</f>
        <v>-8.5499999999999972</v>
      </c>
      <c r="U73" s="42">
        <f>$E$73/4</f>
        <v>-8.5499999999999972</v>
      </c>
      <c r="V73" s="42">
        <f>$F$73/4</f>
        <v>-8.3250000000000028</v>
      </c>
      <c r="W73" s="42">
        <f>$F$73/4</f>
        <v>-8.3250000000000028</v>
      </c>
      <c r="X73" s="42">
        <f>$F$73/4</f>
        <v>-8.3250000000000028</v>
      </c>
      <c r="Y73" s="42">
        <f>$F$73/4</f>
        <v>-8.3250000000000028</v>
      </c>
      <c r="Z73" s="42">
        <f>$G$73/4</f>
        <v>-8.3249999999999886</v>
      </c>
      <c r="AA73" s="42">
        <f>$G$73/4</f>
        <v>-8.3249999999999886</v>
      </c>
      <c r="AB73" s="42">
        <f>$G$73/4</f>
        <v>-8.3249999999999886</v>
      </c>
      <c r="AC73" s="42">
        <f>$G$73/4</f>
        <v>-8.3249999999999886</v>
      </c>
      <c r="AD73" s="11">
        <f>$H$73/4</f>
        <v>-8.3499999999999943</v>
      </c>
      <c r="AE73" s="11">
        <f>$H$73/4</f>
        <v>-8.3499999999999943</v>
      </c>
      <c r="AF73" s="11">
        <f>$H$73/4</f>
        <v>-8.3499999999999943</v>
      </c>
      <c r="AG73" s="11">
        <f>$H$73/4</f>
        <v>-8.3499999999999943</v>
      </c>
      <c r="AH73" s="140">
        <f>-33.3/4</f>
        <v>-8.3249999999999993</v>
      </c>
      <c r="AI73" s="140">
        <f>-33.3/4</f>
        <v>-8.3249999999999993</v>
      </c>
      <c r="AJ73" s="140">
        <f>-33.3/4</f>
        <v>-8.3249999999999993</v>
      </c>
      <c r="AK73" s="249" t="s">
        <v>43</v>
      </c>
    </row>
    <row r="74" spans="1:40" x14ac:dyDescent="0.25">
      <c r="A74" s="10" t="s">
        <v>44</v>
      </c>
      <c r="B74" s="12"/>
      <c r="C74" s="12"/>
      <c r="D74" s="12"/>
      <c r="E74" s="12"/>
      <c r="F74" s="12"/>
      <c r="G74" s="11">
        <v>-293.10000000000002</v>
      </c>
      <c r="H74" s="11">
        <v>-418.5</v>
      </c>
      <c r="I74" s="12"/>
      <c r="J74" s="12"/>
      <c r="K74" s="12"/>
      <c r="L74" s="12"/>
      <c r="M74" s="12"/>
      <c r="N74" s="12"/>
      <c r="O74" s="12"/>
      <c r="P74" s="12"/>
      <c r="Q74" s="7"/>
      <c r="R74" s="12"/>
      <c r="S74" s="12"/>
      <c r="T74" s="12"/>
      <c r="U74" s="7"/>
      <c r="Z74" s="7">
        <f>G74-SUM(AA74:AC74)</f>
        <v>-52.350000000000023</v>
      </c>
      <c r="AA74" s="140">
        <f t="shared" ref="AA74:AC74" si="154">-321/4</f>
        <v>-80.25</v>
      </c>
      <c r="AB74" s="140">
        <f t="shared" si="154"/>
        <v>-80.25</v>
      </c>
      <c r="AC74" s="140">
        <f t="shared" si="154"/>
        <v>-80.25</v>
      </c>
      <c r="AD74" s="11">
        <f>$H$74/4</f>
        <v>-104.625</v>
      </c>
      <c r="AE74" s="11">
        <f>$H$74/4</f>
        <v>-104.625</v>
      </c>
      <c r="AF74" s="11">
        <f>$H$74/4</f>
        <v>-104.625</v>
      </c>
      <c r="AG74" s="11">
        <f>$H$74/4</f>
        <v>-104.625</v>
      </c>
      <c r="AH74" s="140">
        <f t="shared" ref="AH74:AJ74" si="155">-418.5/4</f>
        <v>-104.625</v>
      </c>
      <c r="AI74" s="140">
        <f t="shared" si="155"/>
        <v>-104.625</v>
      </c>
      <c r="AJ74" s="140">
        <f t="shared" si="155"/>
        <v>-104.625</v>
      </c>
      <c r="AK74" s="249" t="s">
        <v>43</v>
      </c>
    </row>
    <row r="75" spans="1:40" x14ac:dyDescent="0.25">
      <c r="A75" s="10" t="s">
        <v>150</v>
      </c>
      <c r="B75" s="12">
        <f>B76-SUM(B72:B74)</f>
        <v>-361.4</v>
      </c>
      <c r="C75" s="12">
        <f t="shared" ref="C75:H75" si="156">C76-SUM(C72:C74)</f>
        <v>-440.9</v>
      </c>
      <c r="D75" s="12">
        <f t="shared" si="156"/>
        <v>-417.5</v>
      </c>
      <c r="E75" s="12">
        <f t="shared" si="156"/>
        <v>-593.33333333333326</v>
      </c>
      <c r="F75" s="12">
        <f t="shared" si="156"/>
        <v>-1171.5</v>
      </c>
      <c r="G75" s="12">
        <f t="shared" si="156"/>
        <v>-1638.9999999999995</v>
      </c>
      <c r="H75" s="12">
        <f t="shared" si="156"/>
        <v>-1473.9</v>
      </c>
      <c r="I75" s="12" t="s">
        <v>295</v>
      </c>
      <c r="J75" s="12"/>
      <c r="K75" s="12"/>
      <c r="L75" s="12"/>
      <c r="M75" s="12"/>
      <c r="N75" s="12">
        <f t="shared" ref="N75" si="157">N76-SUM(N72:N74)</f>
        <v>-227.67500000000001</v>
      </c>
      <c r="O75" s="12">
        <f t="shared" ref="O75" si="158">O76-SUM(O72:O74)</f>
        <v>-294.67500000000001</v>
      </c>
      <c r="P75" s="12">
        <f t="shared" ref="P75" si="159">P76-SUM(P72:P74)</f>
        <v>-362.47500000000002</v>
      </c>
      <c r="Q75" s="12">
        <f t="shared" ref="Q75" si="160">Q76-SUM(Q72:Q74)</f>
        <v>-470.37500000000006</v>
      </c>
      <c r="R75" s="12">
        <f t="shared" ref="R75" si="161">R76-SUM(R72:R74)</f>
        <v>-251.95</v>
      </c>
      <c r="S75" s="12">
        <f t="shared" ref="S75" si="162">S76-SUM(S72:S74)</f>
        <v>-335.35</v>
      </c>
      <c r="T75" s="12">
        <f t="shared" ref="T75" si="163">T76-SUM(T72:T74)</f>
        <v>-490.55</v>
      </c>
      <c r="U75" s="12">
        <f t="shared" ref="U75" si="164">U76-SUM(U72:U74)</f>
        <v>-197.82333333333332</v>
      </c>
      <c r="V75" s="12">
        <f t="shared" ref="V75" si="165">V76-SUM(V72:V74)</f>
        <v>-259.34299999999996</v>
      </c>
      <c r="W75" s="12">
        <f t="shared" ref="W75" si="166">W76-SUM(W72:W74)</f>
        <v>-349.50700000000023</v>
      </c>
      <c r="X75" s="12">
        <f t="shared" ref="X75" si="167">X76-SUM(X72:X74)</f>
        <v>-205.37499999999989</v>
      </c>
      <c r="Y75" s="12">
        <f t="shared" ref="Y75" si="168">Y76-SUM(Y72:Y74)</f>
        <v>-357.27499999999964</v>
      </c>
      <c r="Z75" s="12">
        <f t="shared" ref="Z75" si="169">Z76-SUM(Z72:Z74)</f>
        <v>-375.42100000000016</v>
      </c>
      <c r="AA75" s="12">
        <f t="shared" ref="AA75" si="170">AA76-SUM(AA72:AA74)</f>
        <v>-430.85500000000002</v>
      </c>
      <c r="AB75" s="12">
        <f t="shared" ref="AB75" si="171">AB76-SUM(AB72:AB74)</f>
        <v>-448.39599999999996</v>
      </c>
      <c r="AC75" s="12">
        <f t="shared" ref="AC75" si="172">AC76-SUM(AC72:AC74)</f>
        <v>-384.32799999999952</v>
      </c>
      <c r="AD75" s="12">
        <f t="shared" ref="AD75" si="173">AD76-SUM(AD72:AD74)</f>
        <v>-337.32099999999991</v>
      </c>
      <c r="AE75" s="12">
        <f t="shared" ref="AE75" si="174">AE76-SUM(AE72:AE74)</f>
        <v>-361.00899999999979</v>
      </c>
      <c r="AF75" s="12">
        <f t="shared" ref="AF75" si="175">AF76-SUM(AF72:AF74)</f>
        <v>-383.10599999999988</v>
      </c>
      <c r="AG75" s="12">
        <f t="shared" ref="AG75" si="176">AG76-SUM(AG72:AG74)</f>
        <v>-392.46400000000028</v>
      </c>
      <c r="AH75" s="12">
        <f t="shared" ref="AH75" si="177">AH76-SUM(AH72:AH74)</f>
        <v>-313.91122967253278</v>
      </c>
      <c r="AI75" s="12">
        <f t="shared" ref="AI75" si="178">AI76-SUM(AI72:AI74)</f>
        <v>-272.95</v>
      </c>
      <c r="AJ75" s="12">
        <f t="shared" ref="AJ75" si="179">AJ76-SUM(AJ72:AJ74)</f>
        <v>-273.79975748427677</v>
      </c>
      <c r="AK75" s="3"/>
    </row>
    <row r="76" spans="1:40" s="3" customFormat="1" x14ac:dyDescent="0.25">
      <c r="A76" s="83" t="s">
        <v>45</v>
      </c>
      <c r="B76" s="43">
        <v>-723.5</v>
      </c>
      <c r="C76" s="43">
        <v>-1223.3</v>
      </c>
      <c r="D76" s="43">
        <v>-1414.5</v>
      </c>
      <c r="E76" s="43">
        <f>-1848.7+(131.3+34.2)/3</f>
        <v>-1793.5333333333333</v>
      </c>
      <c r="F76" s="43">
        <v>-3427.9</v>
      </c>
      <c r="G76" s="43">
        <v>-4747.8999999999996</v>
      </c>
      <c r="H76" s="43">
        <v>-4474</v>
      </c>
      <c r="I76" s="9"/>
      <c r="J76" s="8"/>
      <c r="K76" s="8"/>
      <c r="L76" s="8"/>
      <c r="M76" s="8"/>
      <c r="N76" s="8">
        <f>D76-SUM(O76:Q76)</f>
        <v>-242.5</v>
      </c>
      <c r="O76" s="43">
        <v>-309.5</v>
      </c>
      <c r="P76" s="43">
        <v>-377.3</v>
      </c>
      <c r="Q76" s="43">
        <f>D76+929.3</f>
        <v>-485.20000000000005</v>
      </c>
      <c r="R76" s="43">
        <v>-260.5</v>
      </c>
      <c r="S76" s="43">
        <f>-386.1+126.6/3</f>
        <v>-343.90000000000003</v>
      </c>
      <c r="T76" s="43">
        <v>-499.1</v>
      </c>
      <c r="U76" s="8">
        <f>E76-SUM(R76:T76)</f>
        <v>-690.0333333333333</v>
      </c>
      <c r="V76" s="43">
        <v>-790.7</v>
      </c>
      <c r="W76" s="43">
        <v>-824.1</v>
      </c>
      <c r="X76" s="43">
        <v>-780.3</v>
      </c>
      <c r="Y76" s="8">
        <f>F76-SUM(V76:X76)</f>
        <v>-1032.7999999999997</v>
      </c>
      <c r="Z76" s="43">
        <v>-1114.4000000000001</v>
      </c>
      <c r="AA76" s="43">
        <f>-1190.2</f>
        <v>-1190.2</v>
      </c>
      <c r="AB76" s="43">
        <v>-1149.7</v>
      </c>
      <c r="AC76" s="8">
        <f>G76-SUM(Z76:AB76)</f>
        <v>-1293.5999999999995</v>
      </c>
      <c r="AD76" s="43">
        <v>-1316.6</v>
      </c>
      <c r="AE76" s="43">
        <f>-1136.6</f>
        <v>-1136.5999999999999</v>
      </c>
      <c r="AF76" s="43">
        <f>-1018.4</f>
        <v>-1018.4</v>
      </c>
      <c r="AG76" s="8">
        <f>H76-SUM(AD76:AF76)</f>
        <v>-1002.4000000000001</v>
      </c>
      <c r="AH76" s="43">
        <f>-818.3</f>
        <v>-818.3</v>
      </c>
      <c r="AI76" s="43">
        <v>-781.9</v>
      </c>
      <c r="AJ76" s="43">
        <v>-717.4</v>
      </c>
    </row>
    <row r="77" spans="1:40" s="3" customFormat="1" x14ac:dyDescent="0.25">
      <c r="A77" s="83"/>
      <c r="B77" s="43"/>
      <c r="C77" s="43"/>
      <c r="D77" s="43"/>
      <c r="E77" s="43"/>
      <c r="F77" s="43"/>
      <c r="G77" s="43"/>
      <c r="H77" s="43"/>
      <c r="I77" s="9"/>
      <c r="J77" s="8"/>
      <c r="K77" s="8"/>
      <c r="L77" s="8"/>
      <c r="M77" s="8"/>
      <c r="N77" s="8"/>
      <c r="O77" s="43"/>
      <c r="P77" s="43"/>
      <c r="Q77" s="43"/>
      <c r="R77" s="43"/>
      <c r="S77" s="43"/>
      <c r="T77" s="43"/>
      <c r="U77" s="8"/>
      <c r="V77" s="43"/>
      <c r="W77" s="43"/>
      <c r="X77" s="43"/>
      <c r="Y77" s="8"/>
      <c r="Z77" s="43"/>
      <c r="AA77" s="43"/>
      <c r="AB77" s="43"/>
      <c r="AC77" s="8"/>
      <c r="AD77" s="43"/>
      <c r="AE77" s="43"/>
      <c r="AF77" s="43"/>
      <c r="AG77" s="8"/>
      <c r="AH77" s="43"/>
      <c r="AI77" s="43"/>
      <c r="AJ77" s="43"/>
    </row>
    <row r="78" spans="1:40" s="3" customFormat="1" x14ac:dyDescent="0.25">
      <c r="A78" s="213" t="s">
        <v>179</v>
      </c>
      <c r="B78" s="47">
        <f t="shared" ref="B78:H78" si="180">B72/B178</f>
        <v>-0.11016124125342258</v>
      </c>
      <c r="C78" s="47">
        <f t="shared" si="180"/>
        <v>-0.10668121079901827</v>
      </c>
      <c r="D78" s="47">
        <f t="shared" si="180"/>
        <v>-7.6829168373617376E-2</v>
      </c>
      <c r="E78" s="47">
        <f t="shared" si="180"/>
        <v>-4.6156282162932466E-2</v>
      </c>
      <c r="F78" s="47">
        <f t="shared" si="180"/>
        <v>-5.1580046403712297E-2</v>
      </c>
      <c r="G78" s="47">
        <f t="shared" si="180"/>
        <v>-4.3957345971563984E-2</v>
      </c>
      <c r="H78" s="47">
        <f t="shared" si="180"/>
        <v>-3.4716621253405994E-2</v>
      </c>
      <c r="I78" s="47" t="s">
        <v>143</v>
      </c>
      <c r="J78" s="47"/>
      <c r="K78" s="47"/>
      <c r="L78" s="47"/>
      <c r="M78" s="47"/>
      <c r="N78" s="47"/>
      <c r="O78" s="47"/>
      <c r="P78" s="47"/>
      <c r="Q78" s="47"/>
      <c r="R78" s="47"/>
      <c r="S78" s="47"/>
      <c r="T78" s="47"/>
      <c r="U78" s="74">
        <v>-0.06</v>
      </c>
      <c r="V78" s="75">
        <v>-6.2E-2</v>
      </c>
      <c r="W78" s="77">
        <f>W72/W178</f>
        <v>-4.9539736506587315E-2</v>
      </c>
      <c r="X78" s="75">
        <v>-0.05</v>
      </c>
      <c r="Y78" s="75">
        <v>-4.8000000000000001E-2</v>
      </c>
      <c r="Z78" s="74">
        <v>-4.7E-2</v>
      </c>
      <c r="AA78" s="75">
        <v>-4.4999999999999998E-2</v>
      </c>
      <c r="AB78" s="75">
        <v>-3.9E-2</v>
      </c>
      <c r="AC78" s="77">
        <f>AC72/AC178</f>
        <v>-4.496723467207276E-2</v>
      </c>
      <c r="AD78" s="74">
        <v>-4.7E-2</v>
      </c>
      <c r="AE78" s="74">
        <f>-3.6%</f>
        <v>-3.6000000000000004E-2</v>
      </c>
      <c r="AF78" s="75">
        <v>-2.9000000000000001E-2</v>
      </c>
      <c r="AG78" s="77">
        <f>AG72/AG178</f>
        <v>-2.6788906258422715E-2</v>
      </c>
      <c r="AH78" s="74">
        <f>-2.25%</f>
        <v>-2.2499999999999999E-2</v>
      </c>
      <c r="AI78" s="134">
        <v>-2.1999999999999999E-2</v>
      </c>
      <c r="AJ78" s="134">
        <v>-2.1999999999999999E-2</v>
      </c>
      <c r="AK78" s="75"/>
    </row>
    <row r="79" spans="1:40" x14ac:dyDescent="0.25">
      <c r="A79" s="10"/>
      <c r="B79" s="11"/>
      <c r="C79" s="11"/>
      <c r="D79" s="11"/>
      <c r="E79" s="11"/>
      <c r="F79" s="11"/>
      <c r="G79" s="11"/>
      <c r="H79" s="11"/>
      <c r="I79" s="12"/>
      <c r="J79" s="7"/>
      <c r="K79" s="7"/>
      <c r="L79" s="7"/>
      <c r="M79" s="7"/>
      <c r="N79" s="7"/>
      <c r="O79" s="11"/>
      <c r="P79" s="11"/>
      <c r="Q79" s="11"/>
      <c r="R79" s="11"/>
      <c r="S79" s="11"/>
      <c r="T79" s="11"/>
      <c r="U79" s="7"/>
      <c r="V79" s="11"/>
      <c r="W79" s="11"/>
      <c r="X79" s="11"/>
      <c r="Y79" s="7"/>
      <c r="Z79" s="11"/>
      <c r="AA79" s="11"/>
      <c r="AB79" s="11"/>
      <c r="AC79" s="7"/>
      <c r="AD79" s="11"/>
      <c r="AE79" s="11"/>
      <c r="AF79" s="11"/>
      <c r="AG79" s="7"/>
      <c r="AH79" s="11"/>
      <c r="AI79" s="11"/>
      <c r="AJ79" s="11"/>
    </row>
    <row r="80" spans="1:40" s="3" customFormat="1" x14ac:dyDescent="0.25">
      <c r="A80" s="83" t="s">
        <v>46</v>
      </c>
      <c r="B80" s="43">
        <v>-191.9</v>
      </c>
      <c r="C80" s="43">
        <v>-270.10000000000002</v>
      </c>
      <c r="D80" s="43">
        <v>-333.8</v>
      </c>
      <c r="E80" s="43">
        <f>-428.8+(131.3+34.2)/3</f>
        <v>-373.63333333333333</v>
      </c>
      <c r="F80" s="43">
        <v>-573.9</v>
      </c>
      <c r="G80" s="43">
        <v>-630.9</v>
      </c>
      <c r="H80" s="43">
        <v>-416.3</v>
      </c>
      <c r="I80" s="9"/>
      <c r="J80" s="8"/>
      <c r="K80" s="8"/>
      <c r="L80" s="8"/>
      <c r="M80" s="8"/>
      <c r="N80" s="8">
        <f>D80-SUM(O80:Q80)</f>
        <v>-73.199999999999989</v>
      </c>
      <c r="O80" s="43">
        <v>-77.2</v>
      </c>
      <c r="P80" s="43">
        <v>-88.1</v>
      </c>
      <c r="Q80" s="43">
        <f>D80+238.5</f>
        <v>-95.300000000000011</v>
      </c>
      <c r="R80" s="43">
        <v>-86.9</v>
      </c>
      <c r="S80" s="43">
        <f>-128.6+126.6/3</f>
        <v>-86.4</v>
      </c>
      <c r="T80" s="43">
        <v>-103.1</v>
      </c>
      <c r="U80" s="8">
        <f>E80-SUM(R80:T80)</f>
        <v>-97.233333333333348</v>
      </c>
      <c r="V80" s="43">
        <v>-124.1</v>
      </c>
      <c r="W80" s="43">
        <v>-132.30000000000001</v>
      </c>
      <c r="X80" s="43">
        <v>-148</v>
      </c>
      <c r="Y80" s="8">
        <f>F80-SUM(V80:X80)</f>
        <v>-169.5</v>
      </c>
      <c r="Z80" s="43">
        <v>-164.6</v>
      </c>
      <c r="AA80" s="43">
        <v>-160</v>
      </c>
      <c r="AB80" s="43">
        <v>-180.5</v>
      </c>
      <c r="AC80" s="8">
        <f>G80-SUM(Z80:AB80)</f>
        <v>-125.79999999999995</v>
      </c>
      <c r="AD80" s="43">
        <v>-128.69999999999999</v>
      </c>
      <c r="AE80" s="43">
        <f>-101.9</f>
        <v>-101.9</v>
      </c>
      <c r="AF80" s="43">
        <f>-94</f>
        <v>-94</v>
      </c>
      <c r="AG80" s="8">
        <f>H80-SUM(AD80:AF80)</f>
        <v>-91.699999999999989</v>
      </c>
      <c r="AH80" s="43">
        <f>-94.1</f>
        <v>-94.1</v>
      </c>
      <c r="AI80" s="43">
        <v>-85.3</v>
      </c>
      <c r="AJ80" s="43">
        <v>-90.3</v>
      </c>
    </row>
    <row r="81" spans="1:37" x14ac:dyDescent="0.25">
      <c r="A81" s="31"/>
      <c r="B81" s="11"/>
      <c r="C81" s="11"/>
      <c r="D81" s="11"/>
      <c r="E81" s="11"/>
      <c r="F81" s="11"/>
      <c r="G81" s="11"/>
      <c r="H81" s="11"/>
      <c r="I81" s="12"/>
      <c r="J81" s="7"/>
      <c r="K81" s="7"/>
      <c r="L81" s="7"/>
      <c r="M81" s="7"/>
      <c r="N81" s="7"/>
      <c r="O81" s="11"/>
      <c r="P81" s="11"/>
      <c r="Q81" s="11"/>
      <c r="R81" s="11"/>
      <c r="S81" s="11"/>
      <c r="T81" s="11"/>
      <c r="U81" s="7"/>
      <c r="V81" s="11"/>
      <c r="W81" s="11"/>
      <c r="X81" s="11"/>
      <c r="Y81" s="7"/>
      <c r="Z81" s="11"/>
      <c r="AA81" s="11"/>
      <c r="AB81" s="11"/>
      <c r="AC81" s="7"/>
      <c r="AD81" s="11"/>
      <c r="AE81" s="11"/>
      <c r="AF81" s="11"/>
      <c r="AG81" s="7"/>
      <c r="AH81" s="11"/>
      <c r="AI81" s="11"/>
      <c r="AJ81" s="11"/>
    </row>
    <row r="82" spans="1:37" x14ac:dyDescent="0.25">
      <c r="A82" s="10" t="s">
        <v>161</v>
      </c>
      <c r="B82" s="11">
        <v>-144.80000000000001</v>
      </c>
      <c r="C82" s="11">
        <v>-142.5</v>
      </c>
      <c r="D82" s="11">
        <v>-148.1</v>
      </c>
      <c r="E82" s="11">
        <v>-148</v>
      </c>
      <c r="F82" s="11">
        <v>-138.5</v>
      </c>
      <c r="G82" s="11">
        <v>-141.6</v>
      </c>
      <c r="H82" s="11">
        <v>-48.1</v>
      </c>
      <c r="I82" s="7" t="s">
        <v>48</v>
      </c>
      <c r="J82" s="7"/>
      <c r="K82" s="7"/>
      <c r="L82" s="7"/>
      <c r="M82" s="7"/>
      <c r="N82" s="11">
        <f>D82-SUM(O82:Q82)</f>
        <v>-36.075000000000003</v>
      </c>
      <c r="O82" s="11">
        <f>-51.5-O74-O73</f>
        <v>-36.674999999999997</v>
      </c>
      <c r="P82" s="11">
        <f>-52.5-P74-P73</f>
        <v>-37.674999999999997</v>
      </c>
      <c r="Q82" s="11">
        <f>-52.5-Q74-Q73</f>
        <v>-37.674999999999997</v>
      </c>
      <c r="R82" s="11">
        <f>-46.7-R74-R73</f>
        <v>-38.150000000000006</v>
      </c>
      <c r="S82" s="11">
        <f>-46.3-S74-S73</f>
        <v>-37.75</v>
      </c>
      <c r="T82" s="11">
        <f>-45.2-T74-T73</f>
        <v>-36.650000000000006</v>
      </c>
      <c r="U82" s="11">
        <f>-43.9-U74-U73</f>
        <v>-35.35</v>
      </c>
      <c r="V82" s="11">
        <f>-43.2-V74-V73</f>
        <v>-34.875</v>
      </c>
      <c r="W82" s="11">
        <f>-42.8-W74-W73</f>
        <v>-34.474999999999994</v>
      </c>
      <c r="X82" s="11">
        <f>-43-X74-X73</f>
        <v>-34.674999999999997</v>
      </c>
      <c r="Y82" s="11">
        <f>-42.6-Y74-Y73</f>
        <v>-34.274999999999999</v>
      </c>
      <c r="Z82" s="11">
        <f>-69.3-Z74-Z73</f>
        <v>-8.6249999999999858</v>
      </c>
      <c r="AA82" s="11">
        <f>-128.7-AA74-AA73</f>
        <v>-40.125</v>
      </c>
      <c r="AB82" s="11">
        <f>-133.2-AB74-AB73</f>
        <v>-44.625</v>
      </c>
      <c r="AC82" s="11">
        <f>-136.7-AC74-AC73</f>
        <v>-48.125</v>
      </c>
      <c r="AD82" s="11">
        <f>-132.2-AD74-AD73</f>
        <v>-19.224999999999994</v>
      </c>
      <c r="AE82" s="11">
        <f>-126.1-AE74-AE73</f>
        <v>-13.125</v>
      </c>
      <c r="AF82" s="11">
        <f>-121.2-AF74-AF73</f>
        <v>-8.2250000000000085</v>
      </c>
      <c r="AG82" s="11">
        <f>-120.3-AG74-AG73</f>
        <v>-7.3250000000000028</v>
      </c>
      <c r="AH82" s="11">
        <f>-120-AH74-AH73</f>
        <v>-7.0500000000000007</v>
      </c>
      <c r="AI82" s="11">
        <f>-120.4-AI74-AI73</f>
        <v>-7.4500000000000064</v>
      </c>
      <c r="AJ82" s="11">
        <f>-118.5-AJ73-AJ74</f>
        <v>-5.5499999999999972</v>
      </c>
      <c r="AK82" s="249" t="s">
        <v>49</v>
      </c>
    </row>
    <row r="83" spans="1:37" x14ac:dyDescent="0.25">
      <c r="A83" s="33" t="s">
        <v>149</v>
      </c>
      <c r="B83" s="7">
        <f t="shared" ref="B83:H83" si="181">B84-B82</f>
        <v>-104.29999999999998</v>
      </c>
      <c r="C83" s="7">
        <f t="shared" si="181"/>
        <v>-140</v>
      </c>
      <c r="D83" s="7">
        <f t="shared" si="181"/>
        <v>-133.20000000000002</v>
      </c>
      <c r="E83" s="7">
        <f t="shared" si="181"/>
        <v>-295.63333333333333</v>
      </c>
      <c r="F83" s="7">
        <f t="shared" si="181"/>
        <v>-261.8</v>
      </c>
      <c r="G83" s="7">
        <f t="shared" si="181"/>
        <v>-267.10000000000002</v>
      </c>
      <c r="H83" s="7">
        <f t="shared" si="181"/>
        <v>-204.70000000000002</v>
      </c>
      <c r="I83" s="7"/>
      <c r="J83" s="7"/>
      <c r="K83" s="7"/>
      <c r="L83" s="7"/>
      <c r="M83" s="7"/>
      <c r="N83" s="7">
        <f t="shared" ref="N83:AJ83" si="182">N84-N82</f>
        <v>-28.424999999999997</v>
      </c>
      <c r="O83" s="7">
        <f t="shared" si="182"/>
        <v>-36.424999999999997</v>
      </c>
      <c r="P83" s="7">
        <f t="shared" si="182"/>
        <v>-35.325000000000003</v>
      </c>
      <c r="Q83" s="7">
        <f t="shared" si="182"/>
        <v>-33.02500000000002</v>
      </c>
      <c r="R83" s="7">
        <f t="shared" si="182"/>
        <v>-61.349999999999994</v>
      </c>
      <c r="S83" s="7">
        <f t="shared" si="182"/>
        <v>-84.850000000000023</v>
      </c>
      <c r="T83" s="7">
        <f t="shared" si="182"/>
        <v>-84.449999999999989</v>
      </c>
      <c r="U83" s="7">
        <f t="shared" si="182"/>
        <v>-65.083333333333286</v>
      </c>
      <c r="V83" s="7">
        <f t="shared" si="182"/>
        <v>-67.825000000000003</v>
      </c>
      <c r="W83" s="7">
        <f t="shared" si="182"/>
        <v>-65.625</v>
      </c>
      <c r="X83" s="7">
        <f t="shared" si="182"/>
        <v>-63.825000000000003</v>
      </c>
      <c r="Y83" s="7">
        <f t="shared" si="182"/>
        <v>-64.724999999999994</v>
      </c>
      <c r="Z83" s="7">
        <f t="shared" si="182"/>
        <v>-92.175000000000011</v>
      </c>
      <c r="AA83" s="7">
        <f t="shared" si="182"/>
        <v>-59.775000000000006</v>
      </c>
      <c r="AB83" s="7">
        <f t="shared" si="182"/>
        <v>-62.375</v>
      </c>
      <c r="AC83" s="7">
        <f t="shared" si="182"/>
        <v>-52.875</v>
      </c>
      <c r="AD83" s="7">
        <f t="shared" si="182"/>
        <v>-59.275000000000006</v>
      </c>
      <c r="AE83" s="7">
        <f t="shared" si="182"/>
        <v>-43.274999999999999</v>
      </c>
      <c r="AF83" s="7">
        <f t="shared" si="182"/>
        <v>-20.774999999999991</v>
      </c>
      <c r="AG83" s="7">
        <f t="shared" si="182"/>
        <v>-81.575000000000003</v>
      </c>
      <c r="AH83" s="7">
        <f t="shared" si="182"/>
        <v>-43.55</v>
      </c>
      <c r="AI83" s="7">
        <f t="shared" si="182"/>
        <v>-40.649999999999991</v>
      </c>
      <c r="AJ83" s="7">
        <f t="shared" si="182"/>
        <v>-42.45</v>
      </c>
    </row>
    <row r="84" spans="1:37" s="3" customFormat="1" x14ac:dyDescent="0.25">
      <c r="A84" s="83" t="s">
        <v>47</v>
      </c>
      <c r="B84" s="43">
        <v>-249.1</v>
      </c>
      <c r="C84" s="43">
        <v>-282.5</v>
      </c>
      <c r="D84" s="43">
        <v>-281.3</v>
      </c>
      <c r="E84" s="43">
        <f>-498.8+(131.3+34.2)/3</f>
        <v>-443.63333333333333</v>
      </c>
      <c r="F84" s="43">
        <v>-400.3</v>
      </c>
      <c r="G84" s="43">
        <v>-408.7</v>
      </c>
      <c r="H84" s="43">
        <v>-252.8</v>
      </c>
      <c r="I84" s="9"/>
      <c r="J84" s="8"/>
      <c r="K84" s="8"/>
      <c r="L84" s="8"/>
      <c r="M84" s="8"/>
      <c r="N84" s="8">
        <f>D84-SUM(O84:Q84)</f>
        <v>-64.5</v>
      </c>
      <c r="O84" s="43">
        <v>-73.099999999999994</v>
      </c>
      <c r="P84" s="43">
        <v>-73</v>
      </c>
      <c r="Q84" s="43">
        <f>D84+210.6</f>
        <v>-70.700000000000017</v>
      </c>
      <c r="R84" s="43">
        <v>-99.5</v>
      </c>
      <c r="S84" s="43">
        <f>-164.8+126.6/3</f>
        <v>-122.60000000000002</v>
      </c>
      <c r="T84" s="43">
        <v>-121.1</v>
      </c>
      <c r="U84" s="8">
        <f>E84-SUM(R84:T84)</f>
        <v>-100.43333333333328</v>
      </c>
      <c r="V84" s="43">
        <v>-102.7</v>
      </c>
      <c r="W84" s="43">
        <v>-100.1</v>
      </c>
      <c r="X84" s="43">
        <v>-98.5</v>
      </c>
      <c r="Y84" s="8">
        <f>F84-SUM(V84:X84)</f>
        <v>-99</v>
      </c>
      <c r="Z84" s="43">
        <v>-100.8</v>
      </c>
      <c r="AA84" s="43">
        <v>-99.9</v>
      </c>
      <c r="AB84" s="43">
        <v>-107</v>
      </c>
      <c r="AC84" s="8">
        <f>G84-SUM(Z84:AB84)</f>
        <v>-101</v>
      </c>
      <c r="AD84" s="43">
        <v>-78.5</v>
      </c>
      <c r="AE84" s="43">
        <f>-56.4</f>
        <v>-56.4</v>
      </c>
      <c r="AF84" s="43">
        <f>-29</f>
        <v>-29</v>
      </c>
      <c r="AG84" s="8">
        <f>H84-SUM(AD84:AF84)</f>
        <v>-88.9</v>
      </c>
      <c r="AH84" s="43">
        <f>-50.6</f>
        <v>-50.6</v>
      </c>
      <c r="AI84" s="43">
        <v>-48.1</v>
      </c>
      <c r="AJ84" s="141">
        <v>-48</v>
      </c>
    </row>
    <row r="85" spans="1:37" s="36" customFormat="1" x14ac:dyDescent="0.25">
      <c r="A85" s="35"/>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25"/>
      <c r="AH85" s="32"/>
      <c r="AI85" s="32"/>
      <c r="AJ85" s="32"/>
      <c r="AK85" s="32"/>
    </row>
    <row r="86" spans="1:37" x14ac:dyDescent="0.25">
      <c r="A86" s="33" t="s">
        <v>277</v>
      </c>
      <c r="B86" s="7">
        <f>+B69+B70+B72</f>
        <v>-2003.5</v>
      </c>
      <c r="C86" s="7">
        <f t="shared" ref="C86:H86" si="183">+C69+C70+C72</f>
        <v>-2923.6</v>
      </c>
      <c r="D86" s="7">
        <f t="shared" si="183"/>
        <v>-3833.1000000000004</v>
      </c>
      <c r="E86" s="7">
        <f t="shared" si="183"/>
        <v>-5954.4000000000005</v>
      </c>
      <c r="F86" s="7">
        <f t="shared" si="183"/>
        <v>-7422.5</v>
      </c>
      <c r="G86" s="7">
        <f t="shared" si="183"/>
        <v>-8532.9</v>
      </c>
      <c r="H86" s="7">
        <f t="shared" si="183"/>
        <v>-9125.9</v>
      </c>
      <c r="I86" s="7"/>
      <c r="J86" s="7"/>
      <c r="K86" s="7"/>
      <c r="L86" s="7"/>
      <c r="M86" s="7"/>
      <c r="N86" s="7">
        <f t="shared" ref="N86:AJ86" si="184">+N69+N70+N72</f>
        <v>-497.59999999999991</v>
      </c>
      <c r="O86" s="7">
        <f t="shared" si="184"/>
        <v>-628.5</v>
      </c>
      <c r="P86" s="7">
        <f t="shared" si="184"/>
        <v>-669.59999999999991</v>
      </c>
      <c r="Q86" s="7">
        <f t="shared" si="184"/>
        <v>-1099.7000000000003</v>
      </c>
      <c r="R86" s="7">
        <f t="shared" si="184"/>
        <v>-976.7</v>
      </c>
      <c r="S86" s="7">
        <f t="shared" si="184"/>
        <v>-1119.0999999999999</v>
      </c>
      <c r="T86" s="7">
        <f t="shared" si="184"/>
        <v>-1034.5999999999999</v>
      </c>
      <c r="U86" s="7">
        <f t="shared" si="184"/>
        <v>-2141.66</v>
      </c>
      <c r="V86" s="7">
        <f t="shared" si="184"/>
        <v>-1930.5320000000002</v>
      </c>
      <c r="W86" s="7">
        <f t="shared" si="184"/>
        <v>-1615.3679999999999</v>
      </c>
      <c r="X86" s="7">
        <f t="shared" si="184"/>
        <v>-1822</v>
      </c>
      <c r="Y86" s="7">
        <f t="shared" si="184"/>
        <v>-2054.1999999999998</v>
      </c>
      <c r="Z86" s="7">
        <f t="shared" si="184"/>
        <v>-1962.5039999999999</v>
      </c>
      <c r="AA86" s="7">
        <f t="shared" si="184"/>
        <v>-2129.67</v>
      </c>
      <c r="AB86" s="7">
        <f t="shared" si="184"/>
        <v>-2095.029</v>
      </c>
      <c r="AC86" s="7">
        <f t="shared" si="184"/>
        <v>-2345.3969999999999</v>
      </c>
      <c r="AD86" s="7">
        <f t="shared" si="184"/>
        <v>-2276.404</v>
      </c>
      <c r="AE86" s="7">
        <f t="shared" si="184"/>
        <v>-2171.616</v>
      </c>
      <c r="AF86" s="7">
        <f t="shared" si="184"/>
        <v>-2243.2190000000001</v>
      </c>
      <c r="AG86" s="7">
        <f t="shared" si="184"/>
        <v>-2434.5609999999997</v>
      </c>
      <c r="AH86" s="7">
        <f t="shared" si="184"/>
        <v>-2245.938770327467</v>
      </c>
      <c r="AI86" s="7">
        <f t="shared" si="184"/>
        <v>-2147.5</v>
      </c>
      <c r="AJ86" s="7">
        <f t="shared" si="184"/>
        <v>-2071.7502425157231</v>
      </c>
      <c r="AK86" s="252"/>
    </row>
    <row r="87" spans="1:37" x14ac:dyDescent="0.25">
      <c r="A87" s="33" t="s">
        <v>276</v>
      </c>
      <c r="B87" s="7">
        <f>+B83+B80+B75</f>
        <v>-657.59999999999991</v>
      </c>
      <c r="C87" s="7">
        <f t="shared" ref="C87:H87" si="185">+C83+C80+C75</f>
        <v>-851</v>
      </c>
      <c r="D87" s="7">
        <f t="shared" si="185"/>
        <v>-884.5</v>
      </c>
      <c r="E87" s="7">
        <f t="shared" si="185"/>
        <v>-1262.5999999999999</v>
      </c>
      <c r="F87" s="7">
        <f t="shared" si="185"/>
        <v>-2007.2</v>
      </c>
      <c r="G87" s="7">
        <f t="shared" si="185"/>
        <v>-2536.9999999999995</v>
      </c>
      <c r="H87" s="7">
        <f t="shared" si="185"/>
        <v>-2094.9</v>
      </c>
      <c r="I87" s="55" t="s">
        <v>296</v>
      </c>
      <c r="J87" s="7"/>
      <c r="K87" s="7"/>
      <c r="L87" s="7"/>
      <c r="M87" s="7"/>
      <c r="N87" s="7">
        <f t="shared" ref="N87:AJ87" si="186">+N83+N80+N75</f>
        <v>-329.3</v>
      </c>
      <c r="O87" s="7">
        <f t="shared" si="186"/>
        <v>-408.3</v>
      </c>
      <c r="P87" s="7">
        <f t="shared" si="186"/>
        <v>-485.90000000000003</v>
      </c>
      <c r="Q87" s="7">
        <f t="shared" si="186"/>
        <v>-598.70000000000005</v>
      </c>
      <c r="R87" s="7">
        <f t="shared" si="186"/>
        <v>-400.2</v>
      </c>
      <c r="S87" s="7">
        <f t="shared" si="186"/>
        <v>-506.6</v>
      </c>
      <c r="T87" s="7">
        <f t="shared" si="186"/>
        <v>-678.1</v>
      </c>
      <c r="U87" s="7">
        <f t="shared" si="186"/>
        <v>-360.14</v>
      </c>
      <c r="V87" s="7">
        <f t="shared" si="186"/>
        <v>-451.26799999999997</v>
      </c>
      <c r="W87" s="7">
        <f t="shared" si="186"/>
        <v>-547.43200000000024</v>
      </c>
      <c r="X87" s="7">
        <f t="shared" si="186"/>
        <v>-417.19999999999987</v>
      </c>
      <c r="Y87" s="7">
        <f t="shared" si="186"/>
        <v>-591.49999999999966</v>
      </c>
      <c r="Z87" s="7">
        <f t="shared" si="186"/>
        <v>-632.19600000000014</v>
      </c>
      <c r="AA87" s="7">
        <f t="shared" si="186"/>
        <v>-650.63</v>
      </c>
      <c r="AB87" s="7">
        <f t="shared" si="186"/>
        <v>-691.27099999999996</v>
      </c>
      <c r="AC87" s="7">
        <f t="shared" si="186"/>
        <v>-563.00299999999947</v>
      </c>
      <c r="AD87" s="7">
        <f t="shared" si="186"/>
        <v>-525.29599999999994</v>
      </c>
      <c r="AE87" s="7">
        <f t="shared" si="186"/>
        <v>-506.1839999999998</v>
      </c>
      <c r="AF87" s="7">
        <f t="shared" si="186"/>
        <v>-497.88099999999986</v>
      </c>
      <c r="AG87" s="7">
        <f t="shared" si="186"/>
        <v>-565.73900000000026</v>
      </c>
      <c r="AH87" s="7">
        <f t="shared" si="186"/>
        <v>-451.56122967253276</v>
      </c>
      <c r="AI87" s="7">
        <f t="shared" si="186"/>
        <v>-398.9</v>
      </c>
      <c r="AJ87" s="7">
        <f t="shared" si="186"/>
        <v>-406.54975748427677</v>
      </c>
      <c r="AK87" s="252"/>
    </row>
    <row r="88" spans="1:37" x14ac:dyDescent="0.25">
      <c r="A88" s="33" t="s">
        <v>278</v>
      </c>
      <c r="B88" s="7">
        <f>+B82+B73+B74</f>
        <v>-144.80000000000001</v>
      </c>
      <c r="C88" s="7">
        <f t="shared" ref="C88:H88" si="187">+C82+C73+C74</f>
        <v>-142.5</v>
      </c>
      <c r="D88" s="7">
        <f t="shared" si="187"/>
        <v>-207.4</v>
      </c>
      <c r="E88" s="7">
        <f t="shared" si="187"/>
        <v>-182.2</v>
      </c>
      <c r="F88" s="7">
        <f t="shared" si="187"/>
        <v>-171.8</v>
      </c>
      <c r="G88" s="7">
        <f t="shared" si="187"/>
        <v>-468</v>
      </c>
      <c r="H88" s="7">
        <f t="shared" si="187"/>
        <v>-500</v>
      </c>
      <c r="I88" s="7"/>
      <c r="J88" s="7"/>
      <c r="K88" s="7"/>
      <c r="L88" s="7"/>
      <c r="M88" s="7"/>
      <c r="N88" s="7">
        <f t="shared" ref="N88:AJ88" si="188">+N82+N73+N74</f>
        <v>-50.900000000000006</v>
      </c>
      <c r="O88" s="7">
        <f t="shared" si="188"/>
        <v>-51.5</v>
      </c>
      <c r="P88" s="7">
        <f t="shared" si="188"/>
        <v>-52.5</v>
      </c>
      <c r="Q88" s="7">
        <f t="shared" si="188"/>
        <v>-52.5</v>
      </c>
      <c r="R88" s="7">
        <f t="shared" si="188"/>
        <v>-46.7</v>
      </c>
      <c r="S88" s="7">
        <f t="shared" si="188"/>
        <v>-46.3</v>
      </c>
      <c r="T88" s="7">
        <f t="shared" si="188"/>
        <v>-45.2</v>
      </c>
      <c r="U88" s="7">
        <f t="shared" si="188"/>
        <v>-43.9</v>
      </c>
      <c r="V88" s="7">
        <f t="shared" si="188"/>
        <v>-43.2</v>
      </c>
      <c r="W88" s="7">
        <f t="shared" si="188"/>
        <v>-42.8</v>
      </c>
      <c r="X88" s="7">
        <f t="shared" si="188"/>
        <v>-43</v>
      </c>
      <c r="Y88" s="7">
        <f t="shared" si="188"/>
        <v>-42.6</v>
      </c>
      <c r="Z88" s="7">
        <f t="shared" si="188"/>
        <v>-69.3</v>
      </c>
      <c r="AA88" s="7">
        <f t="shared" si="188"/>
        <v>-128.69999999999999</v>
      </c>
      <c r="AB88" s="7">
        <f t="shared" si="188"/>
        <v>-133.19999999999999</v>
      </c>
      <c r="AC88" s="7">
        <f t="shared" si="188"/>
        <v>-136.69999999999999</v>
      </c>
      <c r="AD88" s="7">
        <f t="shared" si="188"/>
        <v>-132.19999999999999</v>
      </c>
      <c r="AE88" s="7">
        <f t="shared" si="188"/>
        <v>-126.1</v>
      </c>
      <c r="AF88" s="7">
        <f t="shared" si="188"/>
        <v>-121.2</v>
      </c>
      <c r="AG88" s="7">
        <f t="shared" si="188"/>
        <v>-120.3</v>
      </c>
      <c r="AH88" s="7">
        <f t="shared" si="188"/>
        <v>-120</v>
      </c>
      <c r="AI88" s="7">
        <f t="shared" si="188"/>
        <v>-120.4</v>
      </c>
      <c r="AJ88" s="7">
        <f t="shared" si="188"/>
        <v>-118.5</v>
      </c>
      <c r="AK88" s="252"/>
    </row>
    <row r="89" spans="1:37" s="3" customFormat="1" x14ac:dyDescent="0.25">
      <c r="A89" s="29" t="s">
        <v>279</v>
      </c>
      <c r="B89" s="8">
        <f>SUM(B86:B88)</f>
        <v>-2805.9</v>
      </c>
      <c r="C89" s="8">
        <f t="shared" ref="C89:H89" si="189">SUM(C86:C88)</f>
        <v>-3917.1</v>
      </c>
      <c r="D89" s="8">
        <f t="shared" si="189"/>
        <v>-4925</v>
      </c>
      <c r="E89" s="8">
        <f t="shared" si="189"/>
        <v>-7399.2</v>
      </c>
      <c r="F89" s="8">
        <f t="shared" si="189"/>
        <v>-9601.5</v>
      </c>
      <c r="G89" s="8">
        <f t="shared" si="189"/>
        <v>-11537.9</v>
      </c>
      <c r="H89" s="8">
        <f t="shared" si="189"/>
        <v>-11720.8</v>
      </c>
      <c r="I89" s="8"/>
      <c r="J89" s="8"/>
      <c r="K89" s="8"/>
      <c r="L89" s="8"/>
      <c r="M89" s="8"/>
      <c r="N89" s="8">
        <f t="shared" ref="N89" si="190">SUM(N86:N88)</f>
        <v>-877.79999999999984</v>
      </c>
      <c r="O89" s="8">
        <f t="shared" ref="O89" si="191">SUM(O86:O88)</f>
        <v>-1088.3</v>
      </c>
      <c r="P89" s="8">
        <f t="shared" ref="P89" si="192">SUM(P86:P88)</f>
        <v>-1208</v>
      </c>
      <c r="Q89" s="8">
        <f t="shared" ref="Q89" si="193">SUM(Q86:Q88)</f>
        <v>-1750.9000000000003</v>
      </c>
      <c r="R89" s="8">
        <f t="shared" ref="R89" si="194">SUM(R86:R88)</f>
        <v>-1423.6000000000001</v>
      </c>
      <c r="S89" s="8">
        <f t="shared" ref="S89" si="195">SUM(S86:S88)</f>
        <v>-1671.9999999999998</v>
      </c>
      <c r="T89" s="8">
        <f t="shared" ref="T89" si="196">SUM(T86:T88)</f>
        <v>-1757.8999999999999</v>
      </c>
      <c r="U89" s="8">
        <f t="shared" ref="U89" si="197">SUM(U86:U88)</f>
        <v>-2545.6999999999998</v>
      </c>
      <c r="V89" s="8">
        <f t="shared" ref="V89" si="198">SUM(V86:V88)</f>
        <v>-2425</v>
      </c>
      <c r="W89" s="8">
        <f t="shared" ref="W89" si="199">SUM(W86:W88)</f>
        <v>-2205.6000000000004</v>
      </c>
      <c r="X89" s="8">
        <f t="shared" ref="X89" si="200">SUM(X86:X88)</f>
        <v>-2282.1999999999998</v>
      </c>
      <c r="Y89" s="8">
        <f t="shared" ref="Y89" si="201">SUM(Y86:Y88)</f>
        <v>-2688.2999999999993</v>
      </c>
      <c r="Z89" s="8">
        <f t="shared" ref="Z89" si="202">SUM(Z86:Z88)</f>
        <v>-2664</v>
      </c>
      <c r="AA89" s="8">
        <f t="shared" ref="AA89" si="203">SUM(AA86:AA88)</f>
        <v>-2909</v>
      </c>
      <c r="AB89" s="8">
        <f t="shared" ref="AB89" si="204">SUM(AB86:AB88)</f>
        <v>-2919.5</v>
      </c>
      <c r="AC89" s="8">
        <f t="shared" ref="AC89" si="205">SUM(AC86:AC88)</f>
        <v>-3045.0999999999995</v>
      </c>
      <c r="AD89" s="8">
        <f t="shared" ref="AD89" si="206">SUM(AD86:AD88)</f>
        <v>-2933.8999999999996</v>
      </c>
      <c r="AE89" s="8">
        <f t="shared" ref="AE89" si="207">SUM(AE86:AE88)</f>
        <v>-2803.8999999999996</v>
      </c>
      <c r="AF89" s="8">
        <f t="shared" ref="AF89" si="208">SUM(AF86:AF88)</f>
        <v>-2862.2999999999997</v>
      </c>
      <c r="AG89" s="8">
        <f t="shared" ref="AG89" si="209">SUM(AG86:AG88)</f>
        <v>-3120.6000000000004</v>
      </c>
      <c r="AH89" s="8">
        <f t="shared" ref="AH89" si="210">SUM(AH86:AH88)</f>
        <v>-2817.4999999999995</v>
      </c>
      <c r="AI89" s="8">
        <f t="shared" ref="AI89" si="211">SUM(AI86:AI88)</f>
        <v>-2666.8</v>
      </c>
      <c r="AJ89" s="8">
        <f t="shared" ref="AJ89" si="212">SUM(AJ86:AJ88)</f>
        <v>-2596.7999999999997</v>
      </c>
      <c r="AK89" s="30"/>
    </row>
    <row r="90" spans="1:37" x14ac:dyDescent="0.25">
      <c r="A90" s="35" t="s">
        <v>280</v>
      </c>
      <c r="B90" s="55">
        <f t="shared" ref="B90:H91" si="213">B86/B$9</f>
        <v>-1.6450447491583873</v>
      </c>
      <c r="C90" s="55">
        <f t="shared" si="213"/>
        <v>-1.5212029762214474</v>
      </c>
      <c r="D90" s="55">
        <f t="shared" si="213"/>
        <v>-1.2366434378629501</v>
      </c>
      <c r="E90" s="55">
        <f t="shared" si="213"/>
        <v>-1.0373699890241992</v>
      </c>
      <c r="F90" s="55">
        <f t="shared" si="213"/>
        <v>-1.0810200693250998</v>
      </c>
      <c r="G90" s="55">
        <f t="shared" si="213"/>
        <v>-0.91766413937731883</v>
      </c>
      <c r="H90" s="55">
        <f t="shared" si="213"/>
        <v>-0.86862870142107906</v>
      </c>
      <c r="I90" s="55"/>
      <c r="J90" s="55"/>
      <c r="K90" s="55"/>
      <c r="L90" s="55"/>
      <c r="M90" s="55"/>
      <c r="N90" s="55">
        <f t="shared" ref="N90:AJ90" si="214">N86/N$9</f>
        <v>-0.94492973794151158</v>
      </c>
      <c r="O90" s="55">
        <f t="shared" si="214"/>
        <v>-0.91738432345642973</v>
      </c>
      <c r="P90" s="55">
        <f t="shared" si="214"/>
        <v>-0.95452601568068407</v>
      </c>
      <c r="Q90" s="55">
        <f t="shared" si="214"/>
        <v>-0.92692178017532045</v>
      </c>
      <c r="R90" s="55">
        <f t="shared" si="214"/>
        <v>-0.88831286948613009</v>
      </c>
      <c r="S90" s="55">
        <f t="shared" si="214"/>
        <v>-0.84594451583641983</v>
      </c>
      <c r="T90" s="55">
        <f t="shared" si="214"/>
        <v>-0.79499001075764553</v>
      </c>
      <c r="U90" s="55">
        <f t="shared" si="214"/>
        <v>-1.0623840468277197</v>
      </c>
      <c r="V90" s="55">
        <f t="shared" si="214"/>
        <v>-1.1542102116465385</v>
      </c>
      <c r="W90" s="55">
        <f t="shared" si="214"/>
        <v>-1.0955361139369277</v>
      </c>
      <c r="X90" s="55">
        <f t="shared" si="214"/>
        <v>-1.0802798529586148</v>
      </c>
      <c r="Y90" s="55">
        <f t="shared" si="214"/>
        <v>-1.0109251968503936</v>
      </c>
      <c r="Z90" s="55">
        <f t="shared" si="214"/>
        <v>-0.96904206991902031</v>
      </c>
      <c r="AA90" s="55">
        <f t="shared" si="214"/>
        <v>-0.93365629110039461</v>
      </c>
      <c r="AB90" s="55">
        <f t="shared" si="214"/>
        <v>-0.88026428571428572</v>
      </c>
      <c r="AC90" s="55">
        <f t="shared" si="214"/>
        <v>-0.89796584861594997</v>
      </c>
      <c r="AD90" s="55">
        <f t="shared" si="214"/>
        <v>-0.89784807131024702</v>
      </c>
      <c r="AE90" s="55">
        <f t="shared" si="214"/>
        <v>-0.8362661737523106</v>
      </c>
      <c r="AF90" s="55">
        <f t="shared" si="214"/>
        <v>-0.85563527482168067</v>
      </c>
      <c r="AG90" s="55">
        <f t="shared" si="214"/>
        <v>-0.88461938156316988</v>
      </c>
      <c r="AH90" s="55">
        <f t="shared" si="214"/>
        <v>-0.91607405894989891</v>
      </c>
      <c r="AI90" s="55">
        <f t="shared" si="214"/>
        <v>-0.9138659529930333</v>
      </c>
      <c r="AJ90" s="55">
        <f t="shared" si="214"/>
        <v>-0.85278267988627765</v>
      </c>
      <c r="AK90" s="39"/>
    </row>
    <row r="91" spans="1:37" x14ac:dyDescent="0.25">
      <c r="A91" s="35" t="s">
        <v>281</v>
      </c>
      <c r="B91" s="55">
        <f t="shared" si="213"/>
        <v>-0.53994580835865003</v>
      </c>
      <c r="C91" s="55">
        <f t="shared" si="213"/>
        <v>-0.44279098808470779</v>
      </c>
      <c r="D91" s="55">
        <f t="shared" si="213"/>
        <v>-0.28535940121305969</v>
      </c>
      <c r="E91" s="55">
        <f t="shared" si="213"/>
        <v>-0.21996898900677711</v>
      </c>
      <c r="F91" s="55">
        <f t="shared" si="213"/>
        <v>-0.29233054673618597</v>
      </c>
      <c r="G91" s="55">
        <f t="shared" si="213"/>
        <v>-0.27283970532881641</v>
      </c>
      <c r="H91" s="55">
        <f t="shared" si="213"/>
        <v>-0.19939844471307144</v>
      </c>
      <c r="I91" s="55" t="s">
        <v>296</v>
      </c>
      <c r="J91" s="55"/>
      <c r="K91" s="55"/>
      <c r="L91" s="55"/>
      <c r="M91" s="55"/>
      <c r="N91" s="55">
        <f t="shared" ref="N91:AJ91" si="215">N87/N$9</f>
        <v>-0.6253323205469048</v>
      </c>
      <c r="O91" s="55">
        <f t="shared" si="215"/>
        <v>-0.59597139103780472</v>
      </c>
      <c r="P91" s="55">
        <f t="shared" si="215"/>
        <v>-0.69265858873841768</v>
      </c>
      <c r="Q91" s="55">
        <f t="shared" si="215"/>
        <v>-0.5046358732299393</v>
      </c>
      <c r="R91" s="55">
        <f t="shared" si="215"/>
        <v>-0.36398362892223735</v>
      </c>
      <c r="S91" s="55">
        <f t="shared" si="215"/>
        <v>-0.38294655680701489</v>
      </c>
      <c r="T91" s="55">
        <f t="shared" si="215"/>
        <v>-0.52105424927001687</v>
      </c>
      <c r="U91" s="55">
        <f t="shared" si="215"/>
        <v>-0.17864973460985167</v>
      </c>
      <c r="V91" s="55">
        <f t="shared" si="215"/>
        <v>-0.26980031089322015</v>
      </c>
      <c r="W91" s="55">
        <f t="shared" si="215"/>
        <v>-0.3712661919294678</v>
      </c>
      <c r="X91" s="55">
        <f t="shared" si="215"/>
        <v>-0.24736155579271898</v>
      </c>
      <c r="Y91" s="55">
        <f t="shared" si="215"/>
        <v>-0.29109251968503919</v>
      </c>
      <c r="Z91" s="55">
        <f t="shared" si="215"/>
        <v>-0.31216472447165716</v>
      </c>
      <c r="AA91" s="55">
        <f t="shared" si="215"/>
        <v>-0.28523893029373082</v>
      </c>
      <c r="AB91" s="55">
        <f t="shared" si="215"/>
        <v>-0.29044999999999999</v>
      </c>
      <c r="AC91" s="55">
        <f t="shared" si="215"/>
        <v>-0.21555304567556163</v>
      </c>
      <c r="AD91" s="55">
        <f t="shared" si="215"/>
        <v>-0.20718466514159503</v>
      </c>
      <c r="AE91" s="55">
        <f t="shared" si="215"/>
        <v>-0.19492606284658034</v>
      </c>
      <c r="AF91" s="55">
        <f t="shared" si="215"/>
        <v>-0.18990769348132885</v>
      </c>
      <c r="AG91" s="55">
        <f t="shared" si="215"/>
        <v>-0.20556629482940311</v>
      </c>
      <c r="AH91" s="55">
        <f t="shared" si="215"/>
        <v>-0.18418290560530767</v>
      </c>
      <c r="AI91" s="55">
        <f t="shared" si="215"/>
        <v>-0.16975139867237296</v>
      </c>
      <c r="AJ91" s="55">
        <f t="shared" si="215"/>
        <v>-0.1673457468857647</v>
      </c>
      <c r="AK91" s="39"/>
    </row>
    <row r="92" spans="1:37" x14ac:dyDescent="0.25">
      <c r="A92" s="31"/>
      <c r="B92" s="11"/>
      <c r="C92" s="11"/>
      <c r="D92" s="11"/>
      <c r="E92" s="11"/>
      <c r="F92" s="11"/>
      <c r="G92" s="11"/>
      <c r="H92" s="11"/>
      <c r="I92" s="12"/>
      <c r="J92" s="12"/>
      <c r="K92" s="12"/>
      <c r="L92" s="12"/>
      <c r="M92" s="12"/>
      <c r="N92" s="11"/>
      <c r="O92" s="11"/>
      <c r="P92" s="11"/>
      <c r="Q92" s="11"/>
      <c r="R92" s="11"/>
      <c r="S92" s="11"/>
      <c r="T92" s="11"/>
      <c r="U92" s="11"/>
      <c r="V92" s="11"/>
      <c r="W92" s="11"/>
      <c r="X92" s="11"/>
      <c r="Y92" s="11"/>
      <c r="Z92" s="11"/>
      <c r="AA92" s="11"/>
      <c r="AB92" s="11"/>
      <c r="AC92" s="11"/>
      <c r="AD92" s="11"/>
      <c r="AE92" s="11"/>
      <c r="AF92" s="11"/>
      <c r="AG92" s="11"/>
      <c r="AH92" s="11"/>
      <c r="AI92" s="11"/>
      <c r="AJ92" s="11"/>
      <c r="AK92" s="252"/>
    </row>
    <row r="93" spans="1:37" x14ac:dyDescent="0.25">
      <c r="A93" s="152"/>
      <c r="B93" s="25"/>
      <c r="C93" s="25"/>
      <c r="D93" s="25"/>
      <c r="E93" s="25"/>
      <c r="F93" s="25"/>
      <c r="G93" s="25"/>
      <c r="H93" s="25"/>
      <c r="I93" s="25"/>
      <c r="J93" s="25"/>
      <c r="K93" s="25"/>
      <c r="L93" s="25"/>
      <c r="M93" s="25"/>
      <c r="N93" s="25"/>
      <c r="O93" s="25"/>
      <c r="P93" s="25"/>
      <c r="Q93" s="25"/>
      <c r="R93" s="25"/>
      <c r="S93" s="25"/>
      <c r="T93" s="25"/>
      <c r="U93" s="39"/>
      <c r="V93" s="39"/>
      <c r="W93" s="55"/>
      <c r="X93" s="39"/>
      <c r="Y93" s="39"/>
      <c r="Z93" s="39"/>
      <c r="AA93" s="39"/>
      <c r="AB93" s="39"/>
      <c r="AC93" s="55"/>
      <c r="AD93" s="39"/>
      <c r="AE93" s="39"/>
      <c r="AF93" s="39"/>
      <c r="AG93" s="55"/>
      <c r="AH93" s="39"/>
      <c r="AI93" s="39"/>
      <c r="AJ93" s="39"/>
      <c r="AK93" s="39"/>
    </row>
    <row r="94" spans="1:37" s="36" customFormat="1" x14ac:dyDescent="0.25">
      <c r="A94" s="35"/>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25"/>
      <c r="AH94" s="32"/>
      <c r="AI94" s="32"/>
      <c r="AJ94" s="32"/>
      <c r="AK94" s="32"/>
    </row>
    <row r="95" spans="1:37" s="36" customFormat="1" x14ac:dyDescent="0.25">
      <c r="A95" s="132" t="s">
        <v>185</v>
      </c>
      <c r="B95" s="1">
        <v>2017</v>
      </c>
      <c r="C95" s="1">
        <v>2018</v>
      </c>
      <c r="D95" s="1">
        <v>2019</v>
      </c>
      <c r="E95" s="1">
        <v>2020</v>
      </c>
      <c r="F95" s="1">
        <v>2021</v>
      </c>
      <c r="G95" s="1">
        <v>2022</v>
      </c>
      <c r="H95" s="1">
        <v>2023</v>
      </c>
      <c r="I95" s="1"/>
      <c r="J95" s="1" t="s">
        <v>1</v>
      </c>
      <c r="K95" s="1" t="s">
        <v>2</v>
      </c>
      <c r="L95" s="1" t="s">
        <v>3</v>
      </c>
      <c r="M95" s="1" t="s">
        <v>4</v>
      </c>
      <c r="N95" s="1" t="s">
        <v>5</v>
      </c>
      <c r="O95" s="1" t="s">
        <v>6</v>
      </c>
      <c r="P95" s="1" t="s">
        <v>7</v>
      </c>
      <c r="Q95" s="2" t="s">
        <v>8</v>
      </c>
      <c r="R95" s="1" t="s">
        <v>9</v>
      </c>
      <c r="S95" s="1" t="s">
        <v>10</v>
      </c>
      <c r="T95" s="1" t="s">
        <v>11</v>
      </c>
      <c r="U95" s="1" t="s">
        <v>12</v>
      </c>
      <c r="V95" s="1" t="s">
        <v>13</v>
      </c>
      <c r="W95" s="1" t="s">
        <v>14</v>
      </c>
      <c r="X95" s="1" t="s">
        <v>15</v>
      </c>
      <c r="Y95" s="1" t="s">
        <v>16</v>
      </c>
      <c r="Z95" s="1" t="s">
        <v>17</v>
      </c>
      <c r="AA95" s="1" t="s">
        <v>18</v>
      </c>
      <c r="AB95" s="1" t="s">
        <v>19</v>
      </c>
      <c r="AC95" s="2" t="s">
        <v>20</v>
      </c>
      <c r="AD95" s="1" t="s">
        <v>21</v>
      </c>
      <c r="AE95" s="1" t="s">
        <v>22</v>
      </c>
      <c r="AF95" s="1" t="s">
        <v>23</v>
      </c>
      <c r="AG95" s="2" t="s">
        <v>24</v>
      </c>
      <c r="AH95" s="1" t="s">
        <v>25</v>
      </c>
      <c r="AI95" s="1" t="s">
        <v>26</v>
      </c>
      <c r="AJ95" s="1" t="s">
        <v>27</v>
      </c>
      <c r="AK95" s="32"/>
    </row>
    <row r="96" spans="1:37" x14ac:dyDescent="0.25">
      <c r="A96" s="10" t="s">
        <v>164</v>
      </c>
      <c r="B96" s="11">
        <v>317.60000000000002</v>
      </c>
      <c r="C96" s="11">
        <v>754.1</v>
      </c>
      <c r="D96" s="11">
        <v>1102.9000000000001</v>
      </c>
      <c r="E96" s="11">
        <v>2305.4</v>
      </c>
      <c r="F96" s="11">
        <v>4045.5</v>
      </c>
      <c r="G96" s="11">
        <f>6210-69</f>
        <v>6141</v>
      </c>
      <c r="H96" s="11">
        <v>6491.7</v>
      </c>
      <c r="I96" s="12"/>
      <c r="J96" s="7"/>
      <c r="K96" s="7"/>
      <c r="L96" s="7"/>
      <c r="M96" s="7"/>
      <c r="N96" s="7">
        <f>D96-SUM(O96:Q96)</f>
        <v>200</v>
      </c>
      <c r="O96" s="11">
        <v>245.5</v>
      </c>
      <c r="P96" s="11">
        <v>304.89999999999998</v>
      </c>
      <c r="Q96" s="11">
        <f>D96-750.4</f>
        <v>352.50000000000011</v>
      </c>
      <c r="R96" s="11">
        <v>507.6</v>
      </c>
      <c r="S96" s="11">
        <v>485.8</v>
      </c>
      <c r="T96" s="11">
        <v>582.5</v>
      </c>
      <c r="U96" s="7">
        <v>729.3</v>
      </c>
      <c r="V96" s="11">
        <v>778.2</v>
      </c>
      <c r="W96" s="11">
        <v>881</v>
      </c>
      <c r="X96" s="11">
        <v>1072.4000000000001</v>
      </c>
      <c r="Y96" s="11">
        <v>1313.6</v>
      </c>
      <c r="Z96" s="11">
        <v>1402.2</v>
      </c>
      <c r="AA96" s="11">
        <v>1465.4</v>
      </c>
      <c r="AB96" s="11">
        <v>1544.2</v>
      </c>
      <c r="AC96" s="11">
        <f>1798-69</f>
        <v>1729</v>
      </c>
      <c r="AD96" s="11">
        <f>1826.6-40</f>
        <v>1786.6</v>
      </c>
      <c r="AE96" s="11">
        <f>1830.1-213.7</f>
        <v>1616.3999999999999</v>
      </c>
      <c r="AF96" s="11">
        <f>1784.9-244.7</f>
        <v>1540.2</v>
      </c>
      <c r="AG96" s="11">
        <v>1548.5</v>
      </c>
      <c r="AH96" s="11">
        <v>1278.5</v>
      </c>
      <c r="AI96" s="11">
        <v>912.44799999999998</v>
      </c>
      <c r="AJ96" s="11">
        <v>930.2</v>
      </c>
      <c r="AK96" s="3"/>
    </row>
    <row r="97" spans="1:36" s="251" customFormat="1" x14ac:dyDescent="0.25">
      <c r="A97" s="13" t="s">
        <v>30</v>
      </c>
      <c r="B97" s="14">
        <f>869.2+31.1</f>
        <v>900.30000000000007</v>
      </c>
      <c r="C97" s="14">
        <f>1111.4+56.4</f>
        <v>1167.8000000000002</v>
      </c>
      <c r="D97" s="14">
        <v>1996.7</v>
      </c>
      <c r="E97" s="14">
        <v>3434.5</v>
      </c>
      <c r="F97" s="14">
        <v>2820.7</v>
      </c>
      <c r="G97" s="14">
        <v>3157.5</v>
      </c>
      <c r="H97" s="14">
        <v>4014.4</v>
      </c>
      <c r="I97" s="15"/>
      <c r="J97" s="16"/>
      <c r="K97" s="16"/>
      <c r="L97" s="16"/>
      <c r="M97" s="16"/>
      <c r="N97" s="16">
        <f>D97-SUM(O97:Q97)</f>
        <v>326.59999999999991</v>
      </c>
      <c r="O97" s="14">
        <v>439.6</v>
      </c>
      <c r="P97" s="14">
        <v>396.6</v>
      </c>
      <c r="Q97" s="14">
        <f>D97-1162.8</f>
        <v>833.90000000000009</v>
      </c>
      <c r="R97" s="14">
        <v>591.9</v>
      </c>
      <c r="S97" s="14">
        <v>837.1</v>
      </c>
      <c r="T97" s="14">
        <v>718.9</v>
      </c>
      <c r="U97" s="16">
        <f>E97-SUM(R97:T97)</f>
        <v>1286.5999999999999</v>
      </c>
      <c r="V97" s="14">
        <v>894.4</v>
      </c>
      <c r="W97" s="14">
        <v>593.5</v>
      </c>
      <c r="X97" s="14">
        <v>614.20000000000005</v>
      </c>
      <c r="Y97" s="14">
        <v>718.4</v>
      </c>
      <c r="Z97" s="14">
        <v>623</v>
      </c>
      <c r="AA97" s="14">
        <v>815.6</v>
      </c>
      <c r="AB97" s="14">
        <v>835.8</v>
      </c>
      <c r="AC97" s="14">
        <v>882.9</v>
      </c>
      <c r="AD97" s="14">
        <v>748.8</v>
      </c>
      <c r="AE97" s="14">
        <v>980.4</v>
      </c>
      <c r="AF97" s="14">
        <v>1081.5</v>
      </c>
      <c r="AG97" s="14">
        <v>1203.5999999999999</v>
      </c>
      <c r="AH97" s="14">
        <v>1173.2</v>
      </c>
      <c r="AI97" s="14">
        <v>1437.4590000000001</v>
      </c>
      <c r="AJ97" s="14">
        <v>1499.2</v>
      </c>
    </row>
    <row r="98" spans="1:36" s="3" customFormat="1" x14ac:dyDescent="0.25">
      <c r="A98" s="9" t="s">
        <v>31</v>
      </c>
      <c r="B98" s="9">
        <f t="shared" ref="B98:G98" si="216">SUM(B96:B97)</f>
        <v>1217.9000000000001</v>
      </c>
      <c r="C98" s="9">
        <f t="shared" si="216"/>
        <v>1921.9</v>
      </c>
      <c r="D98" s="9">
        <f t="shared" si="216"/>
        <v>3099.6000000000004</v>
      </c>
      <c r="E98" s="9">
        <f t="shared" si="216"/>
        <v>5739.9</v>
      </c>
      <c r="F98" s="9">
        <f t="shared" si="216"/>
        <v>6866.2</v>
      </c>
      <c r="G98" s="9">
        <f t="shared" si="216"/>
        <v>9298.5</v>
      </c>
      <c r="H98" s="9">
        <f>SUM(H96:H97)</f>
        <v>10506.1</v>
      </c>
      <c r="I98" s="9"/>
      <c r="J98" s="9"/>
      <c r="K98" s="9"/>
      <c r="L98" s="9"/>
      <c r="M98" s="9"/>
      <c r="N98" s="9">
        <f t="shared" ref="N98:AE98" si="217">SUM(N96:N97)</f>
        <v>526.59999999999991</v>
      </c>
      <c r="O98" s="9">
        <f t="shared" si="217"/>
        <v>685.1</v>
      </c>
      <c r="P98" s="9">
        <f t="shared" si="217"/>
        <v>701.5</v>
      </c>
      <c r="Q98" s="9">
        <f t="shared" si="217"/>
        <v>1186.4000000000001</v>
      </c>
      <c r="R98" s="9">
        <f t="shared" si="217"/>
        <v>1099.5</v>
      </c>
      <c r="S98" s="9">
        <f t="shared" si="217"/>
        <v>1322.9</v>
      </c>
      <c r="T98" s="9">
        <f t="shared" si="217"/>
        <v>1301.4000000000001</v>
      </c>
      <c r="U98" s="9">
        <f t="shared" si="217"/>
        <v>2015.8999999999999</v>
      </c>
      <c r="V98" s="9">
        <f t="shared" si="217"/>
        <v>1672.6</v>
      </c>
      <c r="W98" s="9">
        <f t="shared" si="217"/>
        <v>1474.5</v>
      </c>
      <c r="X98" s="9">
        <f t="shared" si="217"/>
        <v>1686.6000000000001</v>
      </c>
      <c r="Y98" s="9">
        <f t="shared" si="217"/>
        <v>2032</v>
      </c>
      <c r="Z98" s="9">
        <f t="shared" si="217"/>
        <v>2025.2</v>
      </c>
      <c r="AA98" s="9">
        <f t="shared" si="217"/>
        <v>2281</v>
      </c>
      <c r="AB98" s="9">
        <f t="shared" si="217"/>
        <v>2380</v>
      </c>
      <c r="AC98" s="9">
        <f t="shared" si="217"/>
        <v>2611.9</v>
      </c>
      <c r="AD98" s="9">
        <f t="shared" si="217"/>
        <v>2535.3999999999996</v>
      </c>
      <c r="AE98" s="9">
        <f t="shared" si="217"/>
        <v>2596.7999999999997</v>
      </c>
      <c r="AF98" s="9">
        <f>SUM(AF96:AF97)</f>
        <v>2621.7</v>
      </c>
      <c r="AG98" s="9">
        <f>SUM(AG96:AG97)</f>
        <v>2752.1</v>
      </c>
      <c r="AH98" s="9">
        <f t="shared" ref="AH98:AJ98" si="218">SUM(AH96:AH97)</f>
        <v>2451.6999999999998</v>
      </c>
      <c r="AI98" s="9">
        <f t="shared" si="218"/>
        <v>2349.9070000000002</v>
      </c>
      <c r="AJ98" s="9">
        <f t="shared" si="218"/>
        <v>2429.4</v>
      </c>
    </row>
    <row r="99" spans="1:36" x14ac:dyDescent="0.25">
      <c r="A99" s="135" t="s">
        <v>165</v>
      </c>
      <c r="B99" s="135"/>
      <c r="C99" s="20">
        <f t="shared" ref="C99:C101" si="219">C96/B96-1</f>
        <v>1.3743702770780857</v>
      </c>
      <c r="D99" s="20">
        <f t="shared" ref="D99:D101" si="220">D96/C96-1</f>
        <v>0.46253812491711987</v>
      </c>
      <c r="E99" s="20">
        <f t="shared" ref="E99:E101" si="221">E96/D96-1</f>
        <v>1.0903073714752018</v>
      </c>
      <c r="F99" s="20">
        <f t="shared" ref="F99:F101" si="222">F96/E96-1</f>
        <v>0.75479309447384391</v>
      </c>
      <c r="G99" s="20">
        <f t="shared" ref="G99:G101" si="223">G96/F96-1</f>
        <v>0.51798294401186507</v>
      </c>
      <c r="H99" s="20">
        <f t="shared" ref="H99:H101" si="224">H96/G96-1</f>
        <v>5.7107962872496199E-2</v>
      </c>
      <c r="I99" s="19"/>
      <c r="J99" s="20"/>
      <c r="K99" s="20"/>
      <c r="L99" s="20"/>
      <c r="M99" s="20"/>
      <c r="N99" s="20"/>
      <c r="O99" s="20"/>
      <c r="P99" s="20"/>
      <c r="Q99" s="21"/>
      <c r="R99" s="20">
        <f t="shared" ref="R99:R101" si="225">R96/N96-1</f>
        <v>1.5380000000000003</v>
      </c>
      <c r="S99" s="20">
        <f t="shared" ref="S99:S101" si="226">S96/O96-1</f>
        <v>0.97881873727087587</v>
      </c>
      <c r="T99" s="20">
        <f t="shared" ref="T99:T101" si="227">T96/P96-1</f>
        <v>0.91046244670383736</v>
      </c>
      <c r="U99" s="20">
        <f t="shared" ref="U99:U101" si="228">U96/Q96-1</f>
        <v>1.0689361702127651</v>
      </c>
      <c r="V99" s="20">
        <f t="shared" ref="V99:V101" si="229">V96/R96-1</f>
        <v>0.53309692671394804</v>
      </c>
      <c r="W99" s="20">
        <f t="shared" ref="W99:W101" si="230">W96/S96-1</f>
        <v>0.81350349938246191</v>
      </c>
      <c r="X99" s="20">
        <f t="shared" ref="X99:X101" si="231">X96/T96-1</f>
        <v>0.84103004291845518</v>
      </c>
      <c r="Y99" s="20">
        <f t="shared" ref="Y99:Y101" si="232">Y96/U96-1</f>
        <v>0.80117921294391881</v>
      </c>
      <c r="Z99" s="20">
        <f t="shared" ref="Z99:Z101" si="233">Z96/V96-1</f>
        <v>0.80185042405551266</v>
      </c>
      <c r="AA99" s="20">
        <f t="shared" ref="AA99:AA101" si="234">AA96/W96-1</f>
        <v>0.66333711691259944</v>
      </c>
      <c r="AB99" s="20">
        <f t="shared" ref="AB99:AB101" si="235">AB96/X96-1</f>
        <v>0.43994778067885099</v>
      </c>
      <c r="AC99" s="20">
        <f t="shared" ref="AC99:AC101" si="236">AC96/Y96-1</f>
        <v>0.31623020706455551</v>
      </c>
      <c r="AD99" s="20">
        <f t="shared" ref="AD99:AD101" si="237">AD96/Z96-1</f>
        <v>0.2741406361432035</v>
      </c>
      <c r="AE99" s="20">
        <f t="shared" ref="AE99:AE101" si="238">AE96/AA96-1</f>
        <v>0.10304353760065488</v>
      </c>
      <c r="AF99" s="20">
        <f t="shared" ref="AF99:AF101" si="239">AF96/AB96-1</f>
        <v>-2.5903380391141262E-3</v>
      </c>
      <c r="AG99" s="20">
        <f>AG96/AC96-1</f>
        <v>-0.10439560439560436</v>
      </c>
      <c r="AH99" s="20">
        <f t="shared" ref="AH99:AH101" si="240">AH96/AD96-1</f>
        <v>-0.28439494010970556</v>
      </c>
      <c r="AI99" s="20">
        <f t="shared" ref="AI99:AI101" si="241">AI96/AE96-1</f>
        <v>-0.43550606285572879</v>
      </c>
      <c r="AJ99" s="20">
        <f t="shared" ref="AJ99:AJ101" si="242">AJ96/AF96-1</f>
        <v>-0.39605246071938704</v>
      </c>
    </row>
    <row r="100" spans="1:36" x14ac:dyDescent="0.25">
      <c r="A100" s="135" t="s">
        <v>32</v>
      </c>
      <c r="B100" s="135"/>
      <c r="C100" s="20">
        <f t="shared" si="219"/>
        <v>0.29712318116183511</v>
      </c>
      <c r="D100" s="20">
        <f t="shared" si="220"/>
        <v>0.70979619797910587</v>
      </c>
      <c r="E100" s="20">
        <f t="shared" si="221"/>
        <v>0.7200881454399759</v>
      </c>
      <c r="F100" s="20">
        <f t="shared" si="222"/>
        <v>-0.178715970301354</v>
      </c>
      <c r="G100" s="20">
        <f t="shared" si="223"/>
        <v>0.11940298507462699</v>
      </c>
      <c r="H100" s="20">
        <f t="shared" si="224"/>
        <v>0.27138558986539985</v>
      </c>
      <c r="I100" s="20"/>
      <c r="J100" s="20"/>
      <c r="K100" s="20"/>
      <c r="L100" s="20"/>
      <c r="M100" s="20"/>
      <c r="N100" s="20"/>
      <c r="O100" s="20"/>
      <c r="P100" s="20"/>
      <c r="Q100" s="21"/>
      <c r="R100" s="20">
        <f t="shared" si="225"/>
        <v>0.8123086344151873</v>
      </c>
      <c r="S100" s="20">
        <f t="shared" si="226"/>
        <v>0.90423111919927202</v>
      </c>
      <c r="T100" s="20">
        <f t="shared" si="227"/>
        <v>0.8126575895108421</v>
      </c>
      <c r="U100" s="20">
        <f t="shared" si="228"/>
        <v>0.54287084782347983</v>
      </c>
      <c r="V100" s="20">
        <f t="shared" si="229"/>
        <v>0.5110660584558202</v>
      </c>
      <c r="W100" s="20">
        <f t="shared" si="230"/>
        <v>-0.291004658941584</v>
      </c>
      <c r="X100" s="20">
        <f t="shared" si="231"/>
        <v>-0.14563917095562651</v>
      </c>
      <c r="Y100" s="20">
        <f t="shared" si="232"/>
        <v>-0.44162909995336541</v>
      </c>
      <c r="Z100" s="20">
        <f t="shared" si="233"/>
        <v>-0.30344364937388191</v>
      </c>
      <c r="AA100" s="20">
        <f t="shared" si="234"/>
        <v>0.37422072451558552</v>
      </c>
      <c r="AB100" s="20">
        <f t="shared" si="235"/>
        <v>0.36079452946922808</v>
      </c>
      <c r="AC100" s="20">
        <f t="shared" si="236"/>
        <v>0.22898106904231619</v>
      </c>
      <c r="AD100" s="20">
        <f t="shared" si="237"/>
        <v>0.20192616372391647</v>
      </c>
      <c r="AE100" s="20">
        <f t="shared" si="238"/>
        <v>0.20205983325159393</v>
      </c>
      <c r="AF100" s="20">
        <f t="shared" si="239"/>
        <v>0.29396984924623126</v>
      </c>
      <c r="AG100" s="20">
        <f>AG97/AC97-1</f>
        <v>0.36323479442745499</v>
      </c>
      <c r="AH100" s="20">
        <f t="shared" si="240"/>
        <v>0.56677350427350448</v>
      </c>
      <c r="AI100" s="20">
        <f t="shared" si="241"/>
        <v>0.46619645042839664</v>
      </c>
      <c r="AJ100" s="20">
        <f t="shared" si="242"/>
        <v>0.38622283865002305</v>
      </c>
    </row>
    <row r="101" spans="1:36" s="26" customFormat="1" x14ac:dyDescent="0.25">
      <c r="A101" s="24" t="s">
        <v>33</v>
      </c>
      <c r="B101" s="24"/>
      <c r="C101" s="20">
        <f t="shared" si="219"/>
        <v>0.57804417439855493</v>
      </c>
      <c r="D101" s="20">
        <f t="shared" si="220"/>
        <v>0.61277902076070556</v>
      </c>
      <c r="E101" s="20">
        <f t="shared" si="221"/>
        <v>0.85181958962446735</v>
      </c>
      <c r="F101" s="20">
        <f t="shared" si="222"/>
        <v>0.19622293071307872</v>
      </c>
      <c r="G101" s="20">
        <f t="shared" si="223"/>
        <v>0.35424252133640155</v>
      </c>
      <c r="H101" s="20">
        <f t="shared" si="224"/>
        <v>0.12987040920578585</v>
      </c>
      <c r="I101" s="23"/>
      <c r="J101" s="20"/>
      <c r="K101" s="20"/>
      <c r="L101" s="20"/>
      <c r="M101" s="20"/>
      <c r="N101" s="20"/>
      <c r="O101" s="20"/>
      <c r="P101" s="20"/>
      <c r="Q101" s="21"/>
      <c r="R101" s="20">
        <f t="shared" si="225"/>
        <v>1.0879225218382076</v>
      </c>
      <c r="S101" s="20">
        <f t="shared" si="226"/>
        <v>0.93095898408991395</v>
      </c>
      <c r="T101" s="20">
        <f t="shared" si="227"/>
        <v>0.85516749821810412</v>
      </c>
      <c r="U101" s="20">
        <f t="shared" si="228"/>
        <v>0.69917397167902884</v>
      </c>
      <c r="V101" s="20">
        <f t="shared" si="229"/>
        <v>0.52123692587539772</v>
      </c>
      <c r="W101" s="20">
        <f t="shared" si="230"/>
        <v>0.11459671932874738</v>
      </c>
      <c r="X101" s="20">
        <f t="shared" si="231"/>
        <v>0.29598893499308443</v>
      </c>
      <c r="Y101" s="20">
        <f t="shared" si="232"/>
        <v>7.9865072672256066E-3</v>
      </c>
      <c r="Z101" s="20">
        <f t="shared" si="233"/>
        <v>0.21080951811550896</v>
      </c>
      <c r="AA101" s="20">
        <f t="shared" si="234"/>
        <v>0.54696507290606977</v>
      </c>
      <c r="AB101" s="20">
        <f t="shared" si="235"/>
        <v>0.4111229692873235</v>
      </c>
      <c r="AC101" s="20">
        <f t="shared" si="236"/>
        <v>0.28538385826771662</v>
      </c>
      <c r="AD101" s="20">
        <f t="shared" si="237"/>
        <v>0.25192573572980415</v>
      </c>
      <c r="AE101" s="20">
        <f t="shared" si="238"/>
        <v>0.13844804910127118</v>
      </c>
      <c r="AF101" s="20">
        <f t="shared" si="239"/>
        <v>0.10155462184873931</v>
      </c>
      <c r="AG101" s="20">
        <f>AG98/AC98-1</f>
        <v>5.3677399594165065E-2</v>
      </c>
      <c r="AH101" s="20">
        <f t="shared" si="240"/>
        <v>-3.3012542399621259E-2</v>
      </c>
      <c r="AI101" s="20">
        <f t="shared" si="241"/>
        <v>-9.5075862600123129E-2</v>
      </c>
      <c r="AJ101" s="20">
        <f t="shared" si="242"/>
        <v>-7.3349353472937362E-2</v>
      </c>
    </row>
    <row r="102" spans="1:36" x14ac:dyDescent="0.25">
      <c r="A102" s="131"/>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1:36" x14ac:dyDescent="0.25">
      <c r="A103" s="33" t="s">
        <v>154</v>
      </c>
      <c r="B103" s="7"/>
      <c r="C103" s="7">
        <f>C128</f>
        <v>-806.74</v>
      </c>
      <c r="D103" s="7">
        <f t="shared" ref="D103:H103" si="243">D128</f>
        <v>-732.3</v>
      </c>
      <c r="E103" s="7">
        <f t="shared" si="243"/>
        <v>-317.666</v>
      </c>
      <c r="F103" s="7">
        <f t="shared" si="243"/>
        <v>-576.27599999999995</v>
      </c>
      <c r="G103" s="7">
        <f t="shared" si="243"/>
        <v>474.75</v>
      </c>
      <c r="H103" s="7">
        <f t="shared" si="243"/>
        <v>842.82999999999993</v>
      </c>
      <c r="I103" s="7"/>
      <c r="J103" s="7"/>
      <c r="K103" s="7"/>
      <c r="L103" s="7"/>
      <c r="M103" s="7"/>
      <c r="N103" s="7"/>
      <c r="O103" s="7"/>
      <c r="P103" s="7"/>
      <c r="Q103" s="7"/>
      <c r="R103" s="7"/>
      <c r="S103" s="7"/>
      <c r="T103" s="7"/>
      <c r="U103" s="7">
        <f t="shared" ref="U103:Y103" si="244">U128</f>
        <v>-169.28100000000001</v>
      </c>
      <c r="V103" s="7">
        <f t="shared" si="244"/>
        <v>-236.20799999999997</v>
      </c>
      <c r="W103" s="7">
        <f t="shared" si="244"/>
        <v>-216.476</v>
      </c>
      <c r="X103" s="7">
        <f t="shared" si="244"/>
        <v>-67.992000000000004</v>
      </c>
      <c r="Y103" s="7">
        <f t="shared" si="244"/>
        <v>-55.6</v>
      </c>
      <c r="Z103" s="7">
        <f t="shared" ref="Z103:AJ103" si="245">Z128</f>
        <v>-14.432</v>
      </c>
      <c r="AA103" s="7">
        <f t="shared" si="245"/>
        <v>59.624000000000002</v>
      </c>
      <c r="AB103" s="7">
        <f t="shared" si="245"/>
        <v>157.11000000000001</v>
      </c>
      <c r="AC103" s="7">
        <f t="shared" si="245"/>
        <v>272.44799999999998</v>
      </c>
      <c r="AD103" s="7">
        <f t="shared" si="245"/>
        <v>165.88799999999998</v>
      </c>
      <c r="AE103" s="7">
        <f t="shared" si="245"/>
        <v>239.27799999999999</v>
      </c>
      <c r="AF103" s="7">
        <f t="shared" si="245"/>
        <v>252.154</v>
      </c>
      <c r="AG103" s="7">
        <f t="shared" si="245"/>
        <v>185.51</v>
      </c>
      <c r="AH103" s="7">
        <f t="shared" si="245"/>
        <v>121.78095076854534</v>
      </c>
      <c r="AI103" s="7">
        <f t="shared" si="245"/>
        <v>108</v>
      </c>
      <c r="AJ103" s="7">
        <f t="shared" si="245"/>
        <v>75.147782389937106</v>
      </c>
    </row>
    <row r="104" spans="1:36" x14ac:dyDescent="0.25">
      <c r="A104" s="33" t="s">
        <v>153</v>
      </c>
      <c r="B104" s="7"/>
      <c r="C104" s="7">
        <f>C147</f>
        <v>-194.95999999999958</v>
      </c>
      <c r="D104" s="7">
        <f t="shared" ref="D104:H104" si="246">D147</f>
        <v>-1.2000000000002728</v>
      </c>
      <c r="E104" s="7">
        <f t="shared" si="246"/>
        <v>103.16599999999971</v>
      </c>
      <c r="F104" s="7">
        <f t="shared" si="246"/>
        <v>19.975999999999658</v>
      </c>
      <c r="G104" s="7">
        <f t="shared" si="246"/>
        <v>290.85000000000036</v>
      </c>
      <c r="H104" s="7">
        <f t="shared" si="246"/>
        <v>537.37000000000035</v>
      </c>
      <c r="I104" s="7"/>
      <c r="J104" s="7"/>
      <c r="K104" s="7"/>
      <c r="L104" s="7"/>
      <c r="M104" s="7"/>
      <c r="N104" s="7"/>
      <c r="O104" s="7"/>
      <c r="P104" s="7"/>
      <c r="Q104" s="7"/>
      <c r="R104" s="7"/>
      <c r="S104" s="7"/>
      <c r="T104" s="7"/>
      <c r="U104" s="7">
        <f t="shared" ref="U104:Y104" si="247">U147</f>
        <v>43.520999999999958</v>
      </c>
      <c r="V104" s="7">
        <f t="shared" si="247"/>
        <v>-21.72400000000016</v>
      </c>
      <c r="W104" s="7">
        <f t="shared" si="247"/>
        <v>75.608000000000175</v>
      </c>
      <c r="X104" s="7">
        <f t="shared" si="247"/>
        <v>-67.407999999999902</v>
      </c>
      <c r="Y104" s="7">
        <f t="shared" si="247"/>
        <v>33.399999999999977</v>
      </c>
      <c r="Z104" s="7">
        <f t="shared" ref="Z104:AJ104" si="248">Z147</f>
        <v>77.128000000000156</v>
      </c>
      <c r="AA104" s="7">
        <f t="shared" si="248"/>
        <v>91.706000000000017</v>
      </c>
      <c r="AB104" s="7">
        <f t="shared" si="248"/>
        <v>127.8610000000001</v>
      </c>
      <c r="AC104" s="7">
        <f t="shared" si="248"/>
        <v>-5.9449999999998226</v>
      </c>
      <c r="AD104" s="7">
        <f t="shared" si="248"/>
        <v>93.107999999999947</v>
      </c>
      <c r="AE104" s="7">
        <f t="shared" si="248"/>
        <v>185.90599999999984</v>
      </c>
      <c r="AF104" s="7">
        <f t="shared" si="248"/>
        <v>126.327</v>
      </c>
      <c r="AG104" s="7">
        <f t="shared" si="248"/>
        <v>132.02900000000022</v>
      </c>
      <c r="AH104" s="7">
        <f t="shared" si="248"/>
        <v>83.98027890398771</v>
      </c>
      <c r="AI104" s="7">
        <f t="shared" si="248"/>
        <v>94.406999999999925</v>
      </c>
      <c r="AJ104" s="7">
        <f t="shared" si="248"/>
        <v>282.50197509433997</v>
      </c>
    </row>
    <row r="105" spans="1:36" s="138" customFormat="1" x14ac:dyDescent="0.25">
      <c r="A105" s="34" t="s">
        <v>152</v>
      </c>
      <c r="B105" s="34"/>
      <c r="C105" s="34">
        <f>SUM(C103:C104)</f>
        <v>-1001.6999999999996</v>
      </c>
      <c r="D105" s="34">
        <f t="shared" ref="D105:H105" si="249">SUM(D103:D104)</f>
        <v>-733.50000000000023</v>
      </c>
      <c r="E105" s="34">
        <f t="shared" si="249"/>
        <v>-214.50000000000028</v>
      </c>
      <c r="F105" s="34">
        <f t="shared" si="249"/>
        <v>-556.3000000000003</v>
      </c>
      <c r="G105" s="34">
        <f t="shared" si="249"/>
        <v>765.60000000000036</v>
      </c>
      <c r="H105" s="34">
        <f t="shared" si="249"/>
        <v>1380.2000000000003</v>
      </c>
      <c r="I105" s="34"/>
      <c r="J105" s="34"/>
      <c r="K105" s="34"/>
      <c r="L105" s="34"/>
      <c r="M105" s="34"/>
      <c r="N105" s="34"/>
      <c r="O105" s="34"/>
      <c r="P105" s="34"/>
      <c r="Q105" s="34"/>
      <c r="R105" s="34"/>
      <c r="S105" s="34"/>
      <c r="T105" s="34"/>
      <c r="U105" s="34">
        <f t="shared" ref="U105:Y105" si="250">SUM(U103:U104)</f>
        <v>-125.76000000000005</v>
      </c>
      <c r="V105" s="34">
        <f t="shared" si="250"/>
        <v>-257.93200000000013</v>
      </c>
      <c r="W105" s="34">
        <f t="shared" si="250"/>
        <v>-140.86799999999982</v>
      </c>
      <c r="X105" s="34">
        <f t="shared" si="250"/>
        <v>-135.39999999999992</v>
      </c>
      <c r="Y105" s="34">
        <f t="shared" si="250"/>
        <v>-22.200000000000024</v>
      </c>
      <c r="Z105" s="34">
        <f t="shared" ref="Z105" si="251">SUM(Z103:Z104)</f>
        <v>62.696000000000154</v>
      </c>
      <c r="AA105" s="34">
        <f t="shared" ref="AA105" si="252">SUM(AA103:AA104)</f>
        <v>151.33000000000001</v>
      </c>
      <c r="AB105" s="34">
        <f t="shared" ref="AB105" si="253">SUM(AB103:AB104)</f>
        <v>284.97100000000012</v>
      </c>
      <c r="AC105" s="34">
        <f t="shared" ref="AC105" si="254">SUM(AC103:AC104)</f>
        <v>266.50300000000016</v>
      </c>
      <c r="AD105" s="34">
        <f t="shared" ref="AD105" si="255">SUM(AD103:AD104)</f>
        <v>258.99599999999992</v>
      </c>
      <c r="AE105" s="34">
        <f t="shared" ref="AE105" si="256">SUM(AE103:AE104)</f>
        <v>425.18399999999986</v>
      </c>
      <c r="AF105" s="34">
        <f t="shared" ref="AF105" si="257">SUM(AF103:AF104)</f>
        <v>378.48099999999999</v>
      </c>
      <c r="AG105" s="34">
        <f t="shared" ref="AG105" si="258">SUM(AG103:AG104)</f>
        <v>317.53900000000021</v>
      </c>
      <c r="AH105" s="34">
        <f t="shared" ref="AH105" si="259">SUM(AH103:AH104)</f>
        <v>205.76122967253303</v>
      </c>
      <c r="AI105" s="34">
        <f t="shared" ref="AI105" si="260">SUM(AI103:AI104)</f>
        <v>202.40699999999993</v>
      </c>
      <c r="AJ105" s="34">
        <f t="shared" ref="AJ105" si="261">SUM(AJ103:AJ104)</f>
        <v>357.64975748427707</v>
      </c>
    </row>
    <row r="106" spans="1:36" s="255" customFormat="1" x14ac:dyDescent="0.25">
      <c r="A106" s="153" t="s">
        <v>241</v>
      </c>
      <c r="B106" s="153"/>
      <c r="C106" s="25">
        <f>C103/C96</f>
        <v>-1.0698050656411617</v>
      </c>
      <c r="D106" s="25">
        <f t="shared" ref="D106:G106" si="262">D103/D96</f>
        <v>-0.66397678846676933</v>
      </c>
      <c r="E106" s="25">
        <f t="shared" si="262"/>
        <v>-0.13779214019259131</v>
      </c>
      <c r="F106" s="25">
        <f t="shared" si="262"/>
        <v>-0.14244864664441972</v>
      </c>
      <c r="G106" s="25">
        <f t="shared" si="262"/>
        <v>7.7308255984367372E-2</v>
      </c>
      <c r="H106" s="25">
        <f>H103/H96</f>
        <v>0.1298319392454981</v>
      </c>
      <c r="I106" s="41"/>
      <c r="J106" s="25"/>
      <c r="K106" s="25"/>
      <c r="L106" s="25"/>
      <c r="M106" s="25"/>
      <c r="N106" s="25"/>
      <c r="O106" s="25"/>
      <c r="P106" s="25"/>
      <c r="Q106" s="55"/>
      <c r="R106" s="25"/>
      <c r="S106" s="25"/>
      <c r="T106" s="25"/>
      <c r="U106" s="25">
        <f>U103/U96</f>
        <v>-0.23211435623200333</v>
      </c>
      <c r="V106" s="25">
        <f t="shared" ref="V106:AJ106" si="263">V103/V96</f>
        <v>-0.30353122590593673</v>
      </c>
      <c r="W106" s="25">
        <f t="shared" si="263"/>
        <v>-0.24571623155505107</v>
      </c>
      <c r="X106" s="25">
        <f t="shared" si="263"/>
        <v>-6.3401715777694892E-2</v>
      </c>
      <c r="Y106" s="25">
        <f t="shared" si="263"/>
        <v>-4.2326431181485998E-2</v>
      </c>
      <c r="Z106" s="25">
        <f t="shared" si="263"/>
        <v>-1.0292397660818714E-2</v>
      </c>
      <c r="AA106" s="25">
        <f t="shared" si="263"/>
        <v>4.0687866794049406E-2</v>
      </c>
      <c r="AB106" s="25">
        <f t="shared" si="263"/>
        <v>0.10174200233130425</v>
      </c>
      <c r="AC106" s="25">
        <f t="shared" si="263"/>
        <v>0.15757547715442452</v>
      </c>
      <c r="AD106" s="25">
        <f t="shared" si="263"/>
        <v>9.285122579200715E-2</v>
      </c>
      <c r="AE106" s="25">
        <f t="shared" si="263"/>
        <v>0.14803142786439</v>
      </c>
      <c r="AF106" s="25">
        <f t="shared" si="263"/>
        <v>0.16371510193481364</v>
      </c>
      <c r="AG106" s="25">
        <f t="shared" si="263"/>
        <v>0.11979980626412656</v>
      </c>
      <c r="AH106" s="25">
        <f t="shared" si="263"/>
        <v>9.5252992388381183E-2</v>
      </c>
      <c r="AI106" s="25">
        <f t="shared" si="263"/>
        <v>0.11836290944799047</v>
      </c>
      <c r="AJ106" s="25">
        <f t="shared" si="263"/>
        <v>8.0786693603458512E-2</v>
      </c>
    </row>
    <row r="107" spans="1:36" s="255" customFormat="1" x14ac:dyDescent="0.25">
      <c r="A107" s="153" t="s">
        <v>242</v>
      </c>
      <c r="B107" s="153"/>
      <c r="C107" s="25">
        <f t="shared" ref="C107:G108" si="264">C104/C97</f>
        <v>-0.16694639493063843</v>
      </c>
      <c r="D107" s="25">
        <f t="shared" si="264"/>
        <v>-6.0099163619986616E-4</v>
      </c>
      <c r="E107" s="25">
        <f t="shared" si="264"/>
        <v>3.0038142378803236E-2</v>
      </c>
      <c r="F107" s="25">
        <f t="shared" si="264"/>
        <v>7.0819300173714534E-3</v>
      </c>
      <c r="G107" s="25">
        <f t="shared" si="264"/>
        <v>9.211401425178159E-2</v>
      </c>
      <c r="H107" s="25">
        <f>H104/H97</f>
        <v>0.13386060183339984</v>
      </c>
      <c r="I107" s="25"/>
      <c r="J107" s="25"/>
      <c r="K107" s="25"/>
      <c r="L107" s="25"/>
      <c r="M107" s="25"/>
      <c r="N107" s="25"/>
      <c r="O107" s="25"/>
      <c r="P107" s="25"/>
      <c r="Q107" s="55"/>
      <c r="R107" s="25"/>
      <c r="S107" s="25"/>
      <c r="T107" s="25"/>
      <c r="U107" s="25">
        <f>U104/U97</f>
        <v>3.3826364060313974E-2</v>
      </c>
      <c r="V107" s="25">
        <f t="shared" ref="V107:AJ107" si="265">V104/V97</f>
        <v>-2.4288908765653133E-2</v>
      </c>
      <c r="W107" s="25">
        <f t="shared" si="265"/>
        <v>0.12739342881213173</v>
      </c>
      <c r="X107" s="25">
        <f t="shared" si="265"/>
        <v>-0.10974926733962861</v>
      </c>
      <c r="Y107" s="25">
        <f t="shared" si="265"/>
        <v>4.6492204899777255E-2</v>
      </c>
      <c r="Z107" s="25">
        <f t="shared" si="265"/>
        <v>0.12380096308186221</v>
      </c>
      <c r="AA107" s="25">
        <f t="shared" si="265"/>
        <v>0.11243992153016186</v>
      </c>
      <c r="AB107" s="25">
        <f t="shared" si="265"/>
        <v>0.15298037808088072</v>
      </c>
      <c r="AC107" s="25">
        <f t="shared" si="265"/>
        <v>-6.7334919016874195E-3</v>
      </c>
      <c r="AD107" s="25">
        <f t="shared" si="265"/>
        <v>0.12434294871794865</v>
      </c>
      <c r="AE107" s="25">
        <f t="shared" si="265"/>
        <v>0.18962260301917569</v>
      </c>
      <c r="AF107" s="25">
        <f t="shared" si="265"/>
        <v>0.11680721220527046</v>
      </c>
      <c r="AG107" s="25">
        <f t="shared" si="265"/>
        <v>0.10969508142239966</v>
      </c>
      <c r="AH107" s="25">
        <f t="shared" si="265"/>
        <v>7.1582235683589929E-2</v>
      </c>
      <c r="AI107" s="25">
        <f t="shared" si="265"/>
        <v>6.5676307985132049E-2</v>
      </c>
      <c r="AJ107" s="25">
        <f t="shared" si="265"/>
        <v>0.18843514880892473</v>
      </c>
    </row>
    <row r="108" spans="1:36" s="155" customFormat="1" x14ac:dyDescent="0.25">
      <c r="A108" s="154" t="s">
        <v>293</v>
      </c>
      <c r="B108" s="154"/>
      <c r="C108" s="25">
        <f t="shared" si="264"/>
        <v>-0.52120297622144729</v>
      </c>
      <c r="D108" s="25">
        <f t="shared" si="264"/>
        <v>-0.23664343786295011</v>
      </c>
      <c r="E108" s="25">
        <f t="shared" si="264"/>
        <v>-3.736998902419908E-2</v>
      </c>
      <c r="F108" s="25">
        <f t="shared" si="264"/>
        <v>-8.1020069325099808E-2</v>
      </c>
      <c r="G108" s="25">
        <f t="shared" si="264"/>
        <v>8.2335860622681112E-2</v>
      </c>
      <c r="H108" s="25">
        <f>H105/H98</f>
        <v>0.13137129857892083</v>
      </c>
      <c r="I108" s="41"/>
      <c r="J108" s="25"/>
      <c r="K108" s="25"/>
      <c r="L108" s="25"/>
      <c r="M108" s="25"/>
      <c r="N108" s="25"/>
      <c r="O108" s="25"/>
      <c r="P108" s="25"/>
      <c r="Q108" s="55"/>
      <c r="R108" s="25"/>
      <c r="S108" s="25"/>
      <c r="T108" s="25"/>
      <c r="U108" s="25">
        <f>U105/U98</f>
        <v>-6.2384046827719655E-2</v>
      </c>
      <c r="V108" s="25">
        <f t="shared" ref="V108:AJ108" si="266">V105/V98</f>
        <v>-0.15421021164653842</v>
      </c>
      <c r="W108" s="25">
        <f t="shared" si="266"/>
        <v>-9.5536113936927652E-2</v>
      </c>
      <c r="X108" s="25">
        <f t="shared" si="266"/>
        <v>-8.0279852958614908E-2</v>
      </c>
      <c r="Y108" s="25">
        <f t="shared" si="266"/>
        <v>-1.0925196850393712E-2</v>
      </c>
      <c r="Z108" s="25">
        <f t="shared" si="266"/>
        <v>3.0957930080979731E-2</v>
      </c>
      <c r="AA108" s="25">
        <f t="shared" si="266"/>
        <v>6.6343708899605447E-2</v>
      </c>
      <c r="AB108" s="25">
        <f t="shared" si="266"/>
        <v>0.11973571428571433</v>
      </c>
      <c r="AC108" s="25">
        <f t="shared" si="266"/>
        <v>0.10203415138404998</v>
      </c>
      <c r="AD108" s="25">
        <f t="shared" si="266"/>
        <v>0.10215192868975308</v>
      </c>
      <c r="AE108" s="25">
        <f t="shared" si="266"/>
        <v>0.16373382624768942</v>
      </c>
      <c r="AF108" s="25">
        <f t="shared" si="266"/>
        <v>0.14436472517831941</v>
      </c>
      <c r="AG108" s="25">
        <f t="shared" si="266"/>
        <v>0.11538061843683015</v>
      </c>
      <c r="AH108" s="25">
        <f t="shared" si="266"/>
        <v>8.3925941050101177E-2</v>
      </c>
      <c r="AI108" s="25">
        <f t="shared" si="266"/>
        <v>8.6134047006966627E-2</v>
      </c>
      <c r="AJ108" s="25">
        <f t="shared" si="266"/>
        <v>0.14721732011372235</v>
      </c>
    </row>
    <row r="109" spans="1:36" x14ac:dyDescent="0.25">
      <c r="A109" s="22"/>
      <c r="B109" s="22"/>
      <c r="C109" s="18"/>
      <c r="D109" s="18"/>
      <c r="E109" s="18"/>
      <c r="F109" s="18"/>
      <c r="G109" s="18"/>
      <c r="H109" s="18"/>
      <c r="I109" s="12"/>
      <c r="J109" s="18"/>
      <c r="K109" s="18"/>
      <c r="L109" s="18"/>
      <c r="M109" s="18"/>
      <c r="N109" s="20"/>
      <c r="O109" s="20"/>
      <c r="P109" s="20"/>
      <c r="Q109" s="21"/>
      <c r="R109" s="20"/>
      <c r="S109" s="20"/>
      <c r="T109" s="20"/>
      <c r="U109" s="20"/>
      <c r="V109" s="20"/>
      <c r="W109" s="20"/>
      <c r="X109" s="20"/>
      <c r="Y109" s="20"/>
      <c r="Z109" s="20"/>
      <c r="AA109" s="20"/>
      <c r="AB109" s="20"/>
      <c r="AC109" s="20"/>
      <c r="AD109" s="20"/>
      <c r="AE109" s="20"/>
      <c r="AF109" s="18"/>
      <c r="AG109" s="20"/>
      <c r="AH109" s="20"/>
      <c r="AI109" s="20"/>
      <c r="AJ109" s="20"/>
    </row>
    <row r="110" spans="1:36" x14ac:dyDescent="0.25">
      <c r="A110" s="33" t="s">
        <v>156</v>
      </c>
      <c r="B110" s="7"/>
      <c r="C110" s="7">
        <f>C136</f>
        <v>-1551.1</v>
      </c>
      <c r="D110" s="7">
        <f t="shared" ref="D110:H110" si="267">D136</f>
        <v>-1548.95</v>
      </c>
      <c r="E110" s="7">
        <f t="shared" si="267"/>
        <v>-1368.4993333333332</v>
      </c>
      <c r="F110" s="7">
        <f t="shared" si="267"/>
        <v>-2220.2759999999998</v>
      </c>
      <c r="G110" s="7">
        <f t="shared" si="267"/>
        <v>-1917.35</v>
      </c>
      <c r="H110" s="7">
        <f t="shared" si="267"/>
        <v>-1294.1800000000005</v>
      </c>
      <c r="I110" s="7"/>
      <c r="J110" s="7"/>
      <c r="K110" s="7"/>
      <c r="L110" s="7"/>
      <c r="M110" s="7"/>
      <c r="N110" s="7"/>
      <c r="O110" s="7"/>
      <c r="P110" s="7"/>
      <c r="Q110" s="7"/>
      <c r="R110" s="7"/>
      <c r="S110" s="7"/>
      <c r="T110" s="7"/>
      <c r="U110" s="7">
        <f t="shared" ref="U110:Y110" si="268">U136</f>
        <v>-472.38033333333334</v>
      </c>
      <c r="V110" s="7">
        <f t="shared" si="268"/>
        <v>-608.77919999999995</v>
      </c>
      <c r="W110" s="7">
        <f t="shared" si="268"/>
        <v>-672.79480000000012</v>
      </c>
      <c r="X110" s="7">
        <f t="shared" si="268"/>
        <v>-401.74199999999996</v>
      </c>
      <c r="Y110" s="7">
        <f t="shared" si="268"/>
        <v>-536.85999999999967</v>
      </c>
      <c r="Z110" s="7">
        <f t="shared" ref="Z110:AJ110" si="269">Z136</f>
        <v>-549.99840000000017</v>
      </c>
      <c r="AA110" s="7">
        <f t="shared" si="269"/>
        <v>-566.73300000000006</v>
      </c>
      <c r="AB110" s="7">
        <f t="shared" si="269"/>
        <v>-501.08389999999997</v>
      </c>
      <c r="AC110" s="7">
        <f t="shared" si="269"/>
        <v>-299.48469999999958</v>
      </c>
      <c r="AD110" s="7">
        <f t="shared" si="269"/>
        <v>-363.88839999999988</v>
      </c>
      <c r="AE110" s="7">
        <f t="shared" si="269"/>
        <v>-284.3175999999998</v>
      </c>
      <c r="AF110" s="7">
        <f t="shared" si="269"/>
        <v>-271.2288999999999</v>
      </c>
      <c r="AG110" s="7">
        <f t="shared" si="269"/>
        <v>-374.64510000000035</v>
      </c>
      <c r="AH110" s="7">
        <f t="shared" si="269"/>
        <v>-349.56415593673415</v>
      </c>
      <c r="AI110" s="7">
        <f t="shared" si="269"/>
        <v>-321.02999999999992</v>
      </c>
      <c r="AJ110" s="7">
        <f t="shared" si="269"/>
        <v>-356.14699934591192</v>
      </c>
    </row>
    <row r="111" spans="1:36" x14ac:dyDescent="0.25">
      <c r="A111" s="33" t="s">
        <v>157</v>
      </c>
      <c r="B111" s="7"/>
      <c r="C111" s="7">
        <f>C153</f>
        <v>-444.09999999999957</v>
      </c>
      <c r="D111" s="7">
        <f t="shared" ref="D111:H111" si="270">D153</f>
        <v>-276.45000000000027</v>
      </c>
      <c r="E111" s="7">
        <f t="shared" si="270"/>
        <v>-290.80066666666693</v>
      </c>
      <c r="F111" s="7">
        <f t="shared" si="270"/>
        <v>-515.02400000000034</v>
      </c>
      <c r="G111" s="7">
        <f t="shared" si="270"/>
        <v>-322.04999999999961</v>
      </c>
      <c r="H111" s="7">
        <f t="shared" si="270"/>
        <v>79.480000000000359</v>
      </c>
      <c r="I111" s="7"/>
      <c r="J111" s="7"/>
      <c r="K111" s="7"/>
      <c r="L111" s="7"/>
      <c r="M111" s="7"/>
      <c r="N111" s="7"/>
      <c r="O111" s="7"/>
      <c r="P111" s="7"/>
      <c r="Q111" s="7"/>
      <c r="R111" s="7"/>
      <c r="S111" s="7"/>
      <c r="T111" s="7"/>
      <c r="U111" s="7">
        <f t="shared" ref="U111:Y111" si="271">U153</f>
        <v>-57.419666666666679</v>
      </c>
      <c r="V111" s="7">
        <f t="shared" si="271"/>
        <v>-143.62080000000014</v>
      </c>
      <c r="W111" s="7">
        <f t="shared" si="271"/>
        <v>-58.305199999999857</v>
      </c>
      <c r="X111" s="7">
        <f t="shared" si="271"/>
        <v>-193.85799999999989</v>
      </c>
      <c r="Y111" s="7">
        <f t="shared" si="271"/>
        <v>-119.44</v>
      </c>
      <c r="Z111" s="7">
        <f t="shared" ref="Z111:AJ111" si="272">Z153</f>
        <v>-88.801599999999866</v>
      </c>
      <c r="AA111" s="7">
        <f t="shared" si="272"/>
        <v>-61.266999999999989</v>
      </c>
      <c r="AB111" s="7">
        <f t="shared" si="272"/>
        <v>-38.416099999999886</v>
      </c>
      <c r="AC111" s="7">
        <f t="shared" si="272"/>
        <v>-133.71529999999976</v>
      </c>
      <c r="AD111" s="7">
        <f t="shared" si="272"/>
        <v>-34.611600000000045</v>
      </c>
      <c r="AE111" s="7">
        <f t="shared" si="272"/>
        <v>77.217599999999862</v>
      </c>
      <c r="AF111" s="7">
        <f t="shared" si="272"/>
        <v>30.628900000000009</v>
      </c>
      <c r="AG111" s="7">
        <f t="shared" si="272"/>
        <v>6.1451000000002054</v>
      </c>
      <c r="AH111" s="7">
        <f t="shared" si="272"/>
        <v>-16.235844063265571</v>
      </c>
      <c r="AI111" s="7">
        <f t="shared" si="272"/>
        <v>4.1369999999999258</v>
      </c>
      <c r="AJ111" s="7">
        <f t="shared" si="272"/>
        <v>188.74699934591229</v>
      </c>
    </row>
    <row r="112" spans="1:36" s="138" customFormat="1" x14ac:dyDescent="0.25">
      <c r="A112" s="34" t="s">
        <v>155</v>
      </c>
      <c r="B112" s="34"/>
      <c r="C112" s="34">
        <f>SUM(C110:C111)</f>
        <v>-1995.1999999999994</v>
      </c>
      <c r="D112" s="34">
        <f t="shared" ref="D112:H112" si="273">SUM(D110:D111)</f>
        <v>-1825.4000000000003</v>
      </c>
      <c r="E112" s="34">
        <f t="shared" si="273"/>
        <v>-1659.3000000000002</v>
      </c>
      <c r="F112" s="34">
        <f t="shared" si="273"/>
        <v>-2735.3</v>
      </c>
      <c r="G112" s="34">
        <f t="shared" si="273"/>
        <v>-2239.3999999999996</v>
      </c>
      <c r="H112" s="34">
        <f t="shared" si="273"/>
        <v>-1214.7000000000003</v>
      </c>
      <c r="I112" s="34"/>
      <c r="J112" s="34"/>
      <c r="K112" s="34"/>
      <c r="L112" s="34"/>
      <c r="M112" s="34"/>
      <c r="N112" s="34"/>
      <c r="O112" s="34"/>
      <c r="P112" s="34"/>
      <c r="Q112" s="34"/>
      <c r="R112" s="34"/>
      <c r="S112" s="34"/>
      <c r="T112" s="34"/>
      <c r="U112" s="34">
        <f t="shared" ref="U112:Y112" si="274">SUM(U110:U111)</f>
        <v>-529.80000000000007</v>
      </c>
      <c r="V112" s="34">
        <f t="shared" si="274"/>
        <v>-752.40000000000009</v>
      </c>
      <c r="W112" s="34">
        <f t="shared" si="274"/>
        <v>-731.1</v>
      </c>
      <c r="X112" s="34">
        <f t="shared" si="274"/>
        <v>-595.59999999999991</v>
      </c>
      <c r="Y112" s="34">
        <f t="shared" si="274"/>
        <v>-656.29999999999973</v>
      </c>
      <c r="Z112" s="34">
        <f t="shared" ref="Z112:AJ112" si="275">SUM(Z110:Z111)</f>
        <v>-638.80000000000007</v>
      </c>
      <c r="AA112" s="34">
        <f t="shared" si="275"/>
        <v>-628</v>
      </c>
      <c r="AB112" s="34">
        <f t="shared" si="275"/>
        <v>-539.49999999999989</v>
      </c>
      <c r="AC112" s="34">
        <f t="shared" si="275"/>
        <v>-433.19999999999936</v>
      </c>
      <c r="AD112" s="34">
        <f t="shared" si="275"/>
        <v>-398.49999999999994</v>
      </c>
      <c r="AE112" s="34">
        <f t="shared" si="275"/>
        <v>-207.09999999999994</v>
      </c>
      <c r="AF112" s="34">
        <f t="shared" si="275"/>
        <v>-240.59999999999988</v>
      </c>
      <c r="AG112" s="34">
        <f t="shared" si="275"/>
        <v>-368.50000000000017</v>
      </c>
      <c r="AH112" s="34">
        <f t="shared" si="275"/>
        <v>-365.79999999999973</v>
      </c>
      <c r="AI112" s="34">
        <f t="shared" si="275"/>
        <v>-316.89299999999997</v>
      </c>
      <c r="AJ112" s="34">
        <f t="shared" si="275"/>
        <v>-167.39999999999964</v>
      </c>
    </row>
    <row r="113" spans="1:39" s="255" customFormat="1" x14ac:dyDescent="0.25">
      <c r="A113" s="153" t="s">
        <v>183</v>
      </c>
      <c r="B113" s="153"/>
      <c r="C113" s="25">
        <f t="shared" ref="C113:H115" si="276">C110/C96</f>
        <v>-2.0568890067630288</v>
      </c>
      <c r="D113" s="25">
        <f t="shared" si="276"/>
        <v>-1.4044337655272463</v>
      </c>
      <c r="E113" s="25">
        <f t="shared" si="276"/>
        <v>-0.59360602643069882</v>
      </c>
      <c r="F113" s="25">
        <f t="shared" si="276"/>
        <v>-0.54882610307749347</v>
      </c>
      <c r="G113" s="25">
        <f t="shared" si="276"/>
        <v>-0.31222113662269985</v>
      </c>
      <c r="H113" s="25">
        <f t="shared" si="276"/>
        <v>-0.19935918172435579</v>
      </c>
      <c r="I113" s="41"/>
      <c r="J113" s="25"/>
      <c r="K113" s="25"/>
      <c r="L113" s="25"/>
      <c r="M113" s="25"/>
      <c r="N113" s="25"/>
      <c r="O113" s="25"/>
      <c r="P113" s="25"/>
      <c r="Q113" s="55"/>
      <c r="R113" s="25"/>
      <c r="S113" s="25"/>
      <c r="T113" s="25"/>
      <c r="U113" s="25">
        <f t="shared" ref="U113:AJ113" si="277">U110/U96</f>
        <v>-0.64771744595274017</v>
      </c>
      <c r="V113" s="25">
        <f t="shared" si="277"/>
        <v>-0.7822914417887431</v>
      </c>
      <c r="W113" s="25">
        <f t="shared" si="277"/>
        <v>-0.76367173666288324</v>
      </c>
      <c r="X113" s="25">
        <f t="shared" si="277"/>
        <v>-0.37461954494591565</v>
      </c>
      <c r="Y113" s="25">
        <f t="shared" si="277"/>
        <v>-0.40869366626065751</v>
      </c>
      <c r="Z113" s="25">
        <f t="shared" si="277"/>
        <v>-0.3922396234488662</v>
      </c>
      <c r="AA113" s="25">
        <f t="shared" si="277"/>
        <v>-0.38674286884127201</v>
      </c>
      <c r="AB113" s="25">
        <f t="shared" si="277"/>
        <v>-0.32449417173941197</v>
      </c>
      <c r="AC113" s="25">
        <f t="shared" si="277"/>
        <v>-0.17321266628108709</v>
      </c>
      <c r="AD113" s="25">
        <f t="shared" si="277"/>
        <v>-0.20367648046568895</v>
      </c>
      <c r="AE113" s="25">
        <f t="shared" si="277"/>
        <v>-0.1758955704033654</v>
      </c>
      <c r="AF113" s="25">
        <f t="shared" si="277"/>
        <v>-0.17609979223477462</v>
      </c>
      <c r="AG113" s="25">
        <f t="shared" si="277"/>
        <v>-0.24194065224410743</v>
      </c>
      <c r="AH113" s="25">
        <f t="shared" si="277"/>
        <v>-0.27341740785039825</v>
      </c>
      <c r="AI113" s="25">
        <f t="shared" si="277"/>
        <v>-0.35183374833415154</v>
      </c>
      <c r="AJ113" s="25">
        <f t="shared" si="277"/>
        <v>-0.3828714247967232</v>
      </c>
    </row>
    <row r="114" spans="1:39" s="255" customFormat="1" x14ac:dyDescent="0.25">
      <c r="A114" s="153" t="s">
        <v>184</v>
      </c>
      <c r="B114" s="153"/>
      <c r="C114" s="25">
        <f t="shared" si="276"/>
        <v>-0.38028772050008519</v>
      </c>
      <c r="D114" s="25">
        <f t="shared" si="276"/>
        <v>-0.13845344818951283</v>
      </c>
      <c r="E114" s="25">
        <f t="shared" si="276"/>
        <v>-8.467045178822738E-2</v>
      </c>
      <c r="F114" s="25">
        <f t="shared" si="276"/>
        <v>-0.18258730102456849</v>
      </c>
      <c r="G114" s="25">
        <f t="shared" si="276"/>
        <v>-0.10199524940617564</v>
      </c>
      <c r="H114" s="25">
        <f t="shared" si="276"/>
        <v>1.9798724591470796E-2</v>
      </c>
      <c r="I114" s="25"/>
      <c r="J114" s="25"/>
      <c r="K114" s="25"/>
      <c r="L114" s="25"/>
      <c r="M114" s="25"/>
      <c r="N114" s="25"/>
      <c r="O114" s="25"/>
      <c r="P114" s="25"/>
      <c r="Q114" s="55"/>
      <c r="R114" s="25"/>
      <c r="S114" s="25"/>
      <c r="T114" s="25"/>
      <c r="U114" s="25">
        <f t="shared" ref="U114:AJ114" si="278">U111/U97</f>
        <v>-4.4628996321052918E-2</v>
      </c>
      <c r="V114" s="25">
        <f t="shared" si="278"/>
        <v>-0.16057781753130607</v>
      </c>
      <c r="W114" s="25">
        <f t="shared" si="278"/>
        <v>-9.8239595619207851E-2</v>
      </c>
      <c r="X114" s="25">
        <f t="shared" si="278"/>
        <v>-0.31562683165092781</v>
      </c>
      <c r="Y114" s="25">
        <f t="shared" si="278"/>
        <v>-0.16625835189309576</v>
      </c>
      <c r="Z114" s="25">
        <f t="shared" si="278"/>
        <v>-0.14253868378812176</v>
      </c>
      <c r="AA114" s="25">
        <f t="shared" si="278"/>
        <v>-7.5118930848455112E-2</v>
      </c>
      <c r="AB114" s="25">
        <f t="shared" si="278"/>
        <v>-4.5963268724575124E-2</v>
      </c>
      <c r="AC114" s="25">
        <f t="shared" si="278"/>
        <v>-0.15145010759995442</v>
      </c>
      <c r="AD114" s="25">
        <f t="shared" si="278"/>
        <v>-4.6222756410256471E-2</v>
      </c>
      <c r="AE114" s="25">
        <f t="shared" si="278"/>
        <v>7.8761321909424586E-2</v>
      </c>
      <c r="AF114" s="25">
        <f t="shared" si="278"/>
        <v>2.8320758206195108E-2</v>
      </c>
      <c r="AG114" s="25">
        <f t="shared" si="278"/>
        <v>5.1055998670656412E-3</v>
      </c>
      <c r="AH114" s="25">
        <f t="shared" si="278"/>
        <v>-1.3838939706158857E-2</v>
      </c>
      <c r="AI114" s="25">
        <f t="shared" si="278"/>
        <v>2.8779951289044942E-3</v>
      </c>
      <c r="AJ114" s="25">
        <f t="shared" si="278"/>
        <v>0.12589847875260957</v>
      </c>
    </row>
    <row r="115" spans="1:39" s="155" customFormat="1" x14ac:dyDescent="0.25">
      <c r="A115" s="154" t="s">
        <v>292</v>
      </c>
      <c r="B115" s="154"/>
      <c r="C115" s="25">
        <f t="shared" si="276"/>
        <v>-1.0381393412768611</v>
      </c>
      <c r="D115" s="25">
        <f t="shared" si="276"/>
        <v>-0.58891469867079627</v>
      </c>
      <c r="E115" s="25">
        <f t="shared" si="276"/>
        <v>-0.28908169131866412</v>
      </c>
      <c r="F115" s="25">
        <f t="shared" si="276"/>
        <v>-0.39837173400133996</v>
      </c>
      <c r="G115" s="25">
        <f t="shared" si="276"/>
        <v>-0.2408345432058934</v>
      </c>
      <c r="H115" s="25">
        <f t="shared" si="276"/>
        <v>-0.11561854541647236</v>
      </c>
      <c r="I115" s="41"/>
      <c r="J115" s="25"/>
      <c r="K115" s="25"/>
      <c r="L115" s="25"/>
      <c r="M115" s="25"/>
      <c r="N115" s="25"/>
      <c r="O115" s="25"/>
      <c r="P115" s="25"/>
      <c r="Q115" s="55"/>
      <c r="R115" s="25"/>
      <c r="S115" s="25"/>
      <c r="T115" s="25"/>
      <c r="U115" s="25">
        <f t="shared" ref="U115:AJ115" si="279">U112/U98</f>
        <v>-0.26281065529044106</v>
      </c>
      <c r="V115" s="25">
        <f t="shared" si="279"/>
        <v>-0.44983857467416005</v>
      </c>
      <c r="W115" s="25">
        <f t="shared" si="279"/>
        <v>-0.49582909460834185</v>
      </c>
      <c r="X115" s="25">
        <f t="shared" si="279"/>
        <v>-0.35313648760820576</v>
      </c>
      <c r="Y115" s="25">
        <f t="shared" si="279"/>
        <v>-0.32298228346456681</v>
      </c>
      <c r="Z115" s="25">
        <f t="shared" si="279"/>
        <v>-0.31542563697412601</v>
      </c>
      <c r="AA115" s="25">
        <f t="shared" si="279"/>
        <v>-0.27531784305129331</v>
      </c>
      <c r="AB115" s="25">
        <f t="shared" si="279"/>
        <v>-0.22668067226890751</v>
      </c>
      <c r="AC115" s="25">
        <f t="shared" si="279"/>
        <v>-0.16585627321107216</v>
      </c>
      <c r="AD115" s="25">
        <f t="shared" si="279"/>
        <v>-0.15717441034945176</v>
      </c>
      <c r="AE115" s="25">
        <f t="shared" si="279"/>
        <v>-7.9752002464571758E-2</v>
      </c>
      <c r="AF115" s="25">
        <f t="shared" si="279"/>
        <v>-9.1772514017622112E-2</v>
      </c>
      <c r="AG115" s="25">
        <f t="shared" si="279"/>
        <v>-0.1338977508084736</v>
      </c>
      <c r="AH115" s="25">
        <f t="shared" si="279"/>
        <v>-0.14920259411836675</v>
      </c>
      <c r="AI115" s="25">
        <f t="shared" si="279"/>
        <v>-0.13485342185882249</v>
      </c>
      <c r="AJ115" s="25">
        <f t="shared" si="279"/>
        <v>-6.8905902692022569E-2</v>
      </c>
    </row>
    <row r="116" spans="1:39" x14ac:dyDescent="0.25">
      <c r="A116" s="22"/>
      <c r="B116" s="22"/>
      <c r="C116" s="18"/>
      <c r="D116" s="18"/>
      <c r="E116" s="18"/>
      <c r="F116" s="18"/>
      <c r="G116" s="18"/>
      <c r="H116" s="18"/>
      <c r="I116" s="12"/>
      <c r="J116" s="18"/>
      <c r="K116" s="18"/>
      <c r="L116" s="18"/>
      <c r="M116" s="18"/>
      <c r="N116" s="20"/>
      <c r="O116" s="20"/>
      <c r="P116" s="20"/>
      <c r="Q116" s="21"/>
      <c r="R116" s="20"/>
      <c r="S116" s="20"/>
      <c r="T116" s="20"/>
      <c r="U116" s="20"/>
      <c r="V116" s="20"/>
      <c r="W116" s="20"/>
      <c r="X116" s="20"/>
      <c r="Y116" s="20"/>
      <c r="Z116" s="20"/>
      <c r="AA116" s="20"/>
      <c r="AB116" s="20"/>
      <c r="AC116" s="20"/>
      <c r="AD116" s="20"/>
      <c r="AE116" s="20"/>
      <c r="AF116" s="18"/>
      <c r="AG116" s="20"/>
      <c r="AH116" s="20"/>
      <c r="AI116" s="20"/>
      <c r="AJ116" s="20"/>
    </row>
    <row r="117" spans="1:39" x14ac:dyDescent="0.25">
      <c r="A117" s="33" t="s">
        <v>156</v>
      </c>
      <c r="B117" s="7"/>
      <c r="C117" s="7">
        <f>C141</f>
        <v>-1408.6</v>
      </c>
      <c r="D117" s="7">
        <f t="shared" ref="D117:H117" si="280">D141</f>
        <v>-1341.55</v>
      </c>
      <c r="E117" s="7">
        <f t="shared" si="280"/>
        <v>-1186.2993333333332</v>
      </c>
      <c r="F117" s="7">
        <f t="shared" si="280"/>
        <v>-2048.4759999999997</v>
      </c>
      <c r="G117" s="7">
        <f t="shared" si="280"/>
        <v>-1449.35</v>
      </c>
      <c r="H117" s="7">
        <f t="shared" si="280"/>
        <v>-794.18000000000052</v>
      </c>
      <c r="I117" s="7"/>
      <c r="J117" s="7"/>
      <c r="K117" s="7"/>
      <c r="L117" s="7"/>
      <c r="M117" s="7"/>
      <c r="N117" s="7"/>
      <c r="O117" s="7"/>
      <c r="P117" s="7"/>
      <c r="Q117" s="7"/>
      <c r="R117" s="7"/>
      <c r="S117" s="7"/>
      <c r="T117" s="7"/>
      <c r="U117" s="7">
        <f t="shared" ref="U117:Y117" si="281">U141</f>
        <v>-428.48033333333336</v>
      </c>
      <c r="V117" s="7">
        <f t="shared" si="281"/>
        <v>-565.5791999999999</v>
      </c>
      <c r="W117" s="7">
        <f t="shared" si="281"/>
        <v>-629.99480000000017</v>
      </c>
      <c r="X117" s="7">
        <f t="shared" si="281"/>
        <v>-358.74199999999996</v>
      </c>
      <c r="Y117" s="7">
        <f t="shared" si="281"/>
        <v>-494.25999999999965</v>
      </c>
      <c r="Z117" s="7">
        <f t="shared" ref="Z117" si="282">Z141</f>
        <v>-480.69840000000016</v>
      </c>
      <c r="AA117" s="7">
        <f t="shared" ref="AA117:AJ117" si="283">AA141</f>
        <v>-438.03300000000007</v>
      </c>
      <c r="AB117" s="7">
        <f t="shared" si="283"/>
        <v>-367.88389999999998</v>
      </c>
      <c r="AC117" s="7">
        <f t="shared" si="283"/>
        <v>-162.78469999999959</v>
      </c>
      <c r="AD117" s="7">
        <f t="shared" si="283"/>
        <v>-231.68839999999989</v>
      </c>
      <c r="AE117" s="7">
        <f t="shared" si="283"/>
        <v>-158.21759999999981</v>
      </c>
      <c r="AF117" s="7">
        <f t="shared" si="283"/>
        <v>-150.02889999999991</v>
      </c>
      <c r="AG117" s="7">
        <f t="shared" si="283"/>
        <v>-254.34510000000034</v>
      </c>
      <c r="AH117" s="7">
        <f t="shared" si="283"/>
        <v>-229.56415593673415</v>
      </c>
      <c r="AI117" s="7">
        <f t="shared" si="283"/>
        <v>-200.62999999999991</v>
      </c>
      <c r="AJ117" s="7">
        <f t="shared" si="283"/>
        <v>-237.64699934591192</v>
      </c>
    </row>
    <row r="118" spans="1:39" x14ac:dyDescent="0.25">
      <c r="A118" s="33" t="s">
        <v>157</v>
      </c>
      <c r="B118" s="7"/>
      <c r="C118" s="7">
        <f>C157</f>
        <v>-444.09999999999957</v>
      </c>
      <c r="D118" s="7">
        <f t="shared" ref="D118:H118" si="284">D157</f>
        <v>-276.45000000000027</v>
      </c>
      <c r="E118" s="7">
        <f t="shared" si="284"/>
        <v>-290.80066666666693</v>
      </c>
      <c r="F118" s="7">
        <f t="shared" si="284"/>
        <v>-515.02400000000034</v>
      </c>
      <c r="G118" s="7">
        <f t="shared" si="284"/>
        <v>-322.04999999999961</v>
      </c>
      <c r="H118" s="7">
        <f t="shared" si="284"/>
        <v>79.480000000000359</v>
      </c>
      <c r="I118" s="7"/>
      <c r="J118" s="7"/>
      <c r="K118" s="7"/>
      <c r="L118" s="7"/>
      <c r="M118" s="7"/>
      <c r="N118" s="7"/>
      <c r="O118" s="7"/>
      <c r="P118" s="7"/>
      <c r="Q118" s="7"/>
      <c r="R118" s="7"/>
      <c r="S118" s="7"/>
      <c r="T118" s="7"/>
      <c r="U118" s="7">
        <f t="shared" ref="U118:Y118" si="285">U157</f>
        <v>-57.419666666666679</v>
      </c>
      <c r="V118" s="7">
        <f t="shared" si="285"/>
        <v>-143.62080000000014</v>
      </c>
      <c r="W118" s="7">
        <f t="shared" si="285"/>
        <v>-58.305199999999857</v>
      </c>
      <c r="X118" s="7">
        <f t="shared" si="285"/>
        <v>-193.85799999999989</v>
      </c>
      <c r="Y118" s="7">
        <f t="shared" si="285"/>
        <v>-119.44</v>
      </c>
      <c r="Z118" s="7">
        <f t="shared" ref="Z118" si="286">Z157</f>
        <v>-88.801599999999866</v>
      </c>
      <c r="AA118" s="7">
        <f t="shared" ref="AA118:AJ118" si="287">AA157</f>
        <v>-61.266999999999989</v>
      </c>
      <c r="AB118" s="7">
        <f t="shared" si="287"/>
        <v>-38.416099999999886</v>
      </c>
      <c r="AC118" s="7">
        <f t="shared" si="287"/>
        <v>-133.71529999999976</v>
      </c>
      <c r="AD118" s="7">
        <f t="shared" si="287"/>
        <v>-34.611600000000045</v>
      </c>
      <c r="AE118" s="7">
        <f t="shared" si="287"/>
        <v>77.217599999999862</v>
      </c>
      <c r="AF118" s="7">
        <f t="shared" si="287"/>
        <v>30.628900000000009</v>
      </c>
      <c r="AG118" s="7">
        <f t="shared" si="287"/>
        <v>6.1451000000002054</v>
      </c>
      <c r="AH118" s="7">
        <f t="shared" si="287"/>
        <v>-16.235844063265571</v>
      </c>
      <c r="AI118" s="7">
        <f t="shared" si="287"/>
        <v>4.1369999999999258</v>
      </c>
      <c r="AJ118" s="7">
        <f t="shared" si="287"/>
        <v>188.74699934591229</v>
      </c>
    </row>
    <row r="119" spans="1:39" s="138" customFormat="1" x14ac:dyDescent="0.25">
      <c r="A119" s="34" t="s">
        <v>173</v>
      </c>
      <c r="B119" s="34"/>
      <c r="C119" s="34">
        <f>SUM(C117:C118)</f>
        <v>-1852.6999999999994</v>
      </c>
      <c r="D119" s="34">
        <f t="shared" ref="D119:H119" si="288">SUM(D117:D118)</f>
        <v>-1618.0000000000002</v>
      </c>
      <c r="E119" s="34">
        <f t="shared" si="288"/>
        <v>-1477.1000000000001</v>
      </c>
      <c r="F119" s="34">
        <f t="shared" si="288"/>
        <v>-2563.5</v>
      </c>
      <c r="G119" s="34">
        <f t="shared" si="288"/>
        <v>-1771.3999999999996</v>
      </c>
      <c r="H119" s="34">
        <f t="shared" si="288"/>
        <v>-714.70000000000016</v>
      </c>
      <c r="I119" s="34"/>
      <c r="J119" s="34"/>
      <c r="K119" s="34"/>
      <c r="L119" s="34"/>
      <c r="M119" s="34"/>
      <c r="N119" s="34"/>
      <c r="O119" s="34"/>
      <c r="P119" s="34"/>
      <c r="Q119" s="34"/>
      <c r="R119" s="34"/>
      <c r="S119" s="34"/>
      <c r="T119" s="34"/>
      <c r="U119" s="34">
        <f t="shared" ref="U119:Y119" si="289">SUM(U117:U118)</f>
        <v>-485.90000000000003</v>
      </c>
      <c r="V119" s="34">
        <f t="shared" si="289"/>
        <v>-709.2</v>
      </c>
      <c r="W119" s="34">
        <f t="shared" si="289"/>
        <v>-688.30000000000007</v>
      </c>
      <c r="X119" s="34">
        <f t="shared" si="289"/>
        <v>-552.59999999999991</v>
      </c>
      <c r="Y119" s="34">
        <f t="shared" si="289"/>
        <v>-613.69999999999959</v>
      </c>
      <c r="Z119" s="34">
        <f t="shared" ref="Z119" si="290">SUM(Z117:Z118)</f>
        <v>-569.5</v>
      </c>
      <c r="AA119" s="34">
        <f t="shared" ref="AA119:AJ119" si="291">SUM(AA117:AA118)</f>
        <v>-499.30000000000007</v>
      </c>
      <c r="AB119" s="34">
        <f t="shared" si="291"/>
        <v>-406.29999999999984</v>
      </c>
      <c r="AC119" s="34">
        <f t="shared" si="291"/>
        <v>-296.49999999999932</v>
      </c>
      <c r="AD119" s="34">
        <f t="shared" si="291"/>
        <v>-266.29999999999995</v>
      </c>
      <c r="AE119" s="34">
        <f t="shared" si="291"/>
        <v>-80.999999999999943</v>
      </c>
      <c r="AF119" s="34">
        <f t="shared" si="291"/>
        <v>-119.39999999999989</v>
      </c>
      <c r="AG119" s="34">
        <f t="shared" si="291"/>
        <v>-248.20000000000013</v>
      </c>
      <c r="AH119" s="34">
        <f t="shared" si="291"/>
        <v>-245.79999999999973</v>
      </c>
      <c r="AI119" s="34">
        <f t="shared" si="291"/>
        <v>-196.49299999999999</v>
      </c>
      <c r="AJ119" s="34">
        <f t="shared" si="291"/>
        <v>-48.899999999999636</v>
      </c>
    </row>
    <row r="120" spans="1:39" s="255" customFormat="1" x14ac:dyDescent="0.25">
      <c r="A120" s="153" t="s">
        <v>321</v>
      </c>
      <c r="B120" s="153"/>
      <c r="C120" s="25">
        <f t="shared" ref="C120:H122" si="292">C117/C96</f>
        <v>-1.8679220262564644</v>
      </c>
      <c r="D120" s="25">
        <f t="shared" si="292"/>
        <v>-1.2163840783389246</v>
      </c>
      <c r="E120" s="25">
        <f t="shared" si="292"/>
        <v>-0.51457418813799471</v>
      </c>
      <c r="F120" s="25">
        <f t="shared" si="292"/>
        <v>-0.5063591645037695</v>
      </c>
      <c r="G120" s="25">
        <f t="shared" si="292"/>
        <v>-0.23601205015469792</v>
      </c>
      <c r="H120" s="25">
        <f t="shared" si="292"/>
        <v>-0.12233775436326394</v>
      </c>
      <c r="I120" s="41"/>
      <c r="J120" s="25"/>
      <c r="K120" s="25"/>
      <c r="L120" s="25"/>
      <c r="M120" s="25"/>
      <c r="N120" s="25"/>
      <c r="O120" s="25"/>
      <c r="P120" s="25"/>
      <c r="Q120" s="55"/>
      <c r="R120" s="25"/>
      <c r="S120" s="25"/>
      <c r="T120" s="25"/>
      <c r="U120" s="25">
        <f t="shared" ref="U120:AJ120" si="293">U117/U96</f>
        <v>-0.58752273869920935</v>
      </c>
      <c r="V120" s="25">
        <f t="shared" si="293"/>
        <v>-0.72677872012336142</v>
      </c>
      <c r="W120" s="25">
        <f t="shared" si="293"/>
        <v>-0.71509057888762784</v>
      </c>
      <c r="X120" s="25">
        <f t="shared" si="293"/>
        <v>-0.33452256620663923</v>
      </c>
      <c r="Y120" s="25">
        <f t="shared" si="293"/>
        <v>-0.37626370280146137</v>
      </c>
      <c r="Z120" s="25">
        <f t="shared" si="293"/>
        <v>-0.34281728712023973</v>
      </c>
      <c r="AA120" s="25">
        <f t="shared" si="293"/>
        <v>-0.29891701924389247</v>
      </c>
      <c r="AB120" s="25">
        <f t="shared" si="293"/>
        <v>-0.2382359150369123</v>
      </c>
      <c r="AC120" s="25">
        <f t="shared" si="293"/>
        <v>-9.4149624060150136E-2</v>
      </c>
      <c r="AD120" s="25">
        <f t="shared" si="293"/>
        <v>-0.12968118213366164</v>
      </c>
      <c r="AE120" s="25">
        <f t="shared" si="293"/>
        <v>-9.7882702301410426E-2</v>
      </c>
      <c r="AF120" s="25">
        <f t="shared" si="293"/>
        <v>-9.7408713154135768E-2</v>
      </c>
      <c r="AG120" s="25">
        <f t="shared" si="293"/>
        <v>-0.16425256700032312</v>
      </c>
      <c r="AH120" s="25">
        <f t="shared" si="293"/>
        <v>-0.17955741567206426</v>
      </c>
      <c r="AI120" s="25">
        <f t="shared" si="293"/>
        <v>-0.21988102335694737</v>
      </c>
      <c r="AJ120" s="25">
        <f t="shared" si="293"/>
        <v>-0.25547946607816802</v>
      </c>
    </row>
    <row r="121" spans="1:39" s="255" customFormat="1" x14ac:dyDescent="0.25">
      <c r="A121" s="153" t="s">
        <v>322</v>
      </c>
      <c r="B121" s="153"/>
      <c r="C121" s="25">
        <f t="shared" si="292"/>
        <v>-0.38028772050008519</v>
      </c>
      <c r="D121" s="25">
        <f t="shared" si="292"/>
        <v>-0.13845344818951283</v>
      </c>
      <c r="E121" s="25">
        <f t="shared" si="292"/>
        <v>-8.467045178822738E-2</v>
      </c>
      <c r="F121" s="25">
        <f t="shared" si="292"/>
        <v>-0.18258730102456849</v>
      </c>
      <c r="G121" s="25">
        <f t="shared" si="292"/>
        <v>-0.10199524940617564</v>
      </c>
      <c r="H121" s="25">
        <f t="shared" si="292"/>
        <v>1.9798724591470796E-2</v>
      </c>
      <c r="I121" s="25"/>
      <c r="J121" s="25"/>
      <c r="K121" s="25"/>
      <c r="L121" s="25"/>
      <c r="M121" s="25"/>
      <c r="N121" s="25"/>
      <c r="O121" s="25"/>
      <c r="P121" s="25"/>
      <c r="Q121" s="55"/>
      <c r="R121" s="25"/>
      <c r="S121" s="25"/>
      <c r="T121" s="25"/>
      <c r="U121" s="25">
        <f t="shared" ref="U121:AJ121" si="294">U118/U97</f>
        <v>-4.4628996321052918E-2</v>
      </c>
      <c r="V121" s="25">
        <f t="shared" si="294"/>
        <v>-0.16057781753130607</v>
      </c>
      <c r="W121" s="25">
        <f t="shared" si="294"/>
        <v>-9.8239595619207851E-2</v>
      </c>
      <c r="X121" s="25">
        <f t="shared" si="294"/>
        <v>-0.31562683165092781</v>
      </c>
      <c r="Y121" s="25">
        <f t="shared" si="294"/>
        <v>-0.16625835189309576</v>
      </c>
      <c r="Z121" s="25">
        <f t="shared" si="294"/>
        <v>-0.14253868378812176</v>
      </c>
      <c r="AA121" s="25">
        <f t="shared" si="294"/>
        <v>-7.5118930848455112E-2</v>
      </c>
      <c r="AB121" s="25">
        <f t="shared" si="294"/>
        <v>-4.5963268724575124E-2</v>
      </c>
      <c r="AC121" s="25">
        <f t="shared" si="294"/>
        <v>-0.15145010759995442</v>
      </c>
      <c r="AD121" s="25">
        <f t="shared" si="294"/>
        <v>-4.6222756410256471E-2</v>
      </c>
      <c r="AE121" s="25">
        <f t="shared" si="294"/>
        <v>7.8761321909424586E-2</v>
      </c>
      <c r="AF121" s="25">
        <f t="shared" si="294"/>
        <v>2.8320758206195108E-2</v>
      </c>
      <c r="AG121" s="25">
        <f t="shared" si="294"/>
        <v>5.1055998670656412E-3</v>
      </c>
      <c r="AH121" s="25">
        <f t="shared" si="294"/>
        <v>-1.3838939706158857E-2</v>
      </c>
      <c r="AI121" s="25">
        <f t="shared" si="294"/>
        <v>2.8779951289044942E-3</v>
      </c>
      <c r="AJ121" s="25">
        <f t="shared" si="294"/>
        <v>0.12589847875260957</v>
      </c>
    </row>
    <row r="122" spans="1:39" s="155" customFormat="1" x14ac:dyDescent="0.25">
      <c r="A122" s="154" t="s">
        <v>323</v>
      </c>
      <c r="B122" s="154"/>
      <c r="C122" s="25">
        <f t="shared" si="292"/>
        <v>-0.96399396430615503</v>
      </c>
      <c r="D122" s="25">
        <f t="shared" si="292"/>
        <v>-0.52200283907600986</v>
      </c>
      <c r="E122" s="25">
        <f t="shared" si="292"/>
        <v>-0.25733897803097616</v>
      </c>
      <c r="F122" s="25">
        <f t="shared" si="292"/>
        <v>-0.37335061606128572</v>
      </c>
      <c r="G122" s="25">
        <f t="shared" si="292"/>
        <v>-0.19050384470613535</v>
      </c>
      <c r="H122" s="25">
        <f t="shared" si="292"/>
        <v>-6.8027146134150646E-2</v>
      </c>
      <c r="I122" s="41"/>
      <c r="J122" s="25"/>
      <c r="K122" s="25"/>
      <c r="L122" s="25"/>
      <c r="M122" s="25"/>
      <c r="N122" s="25"/>
      <c r="O122" s="25"/>
      <c r="P122" s="25"/>
      <c r="Q122" s="55"/>
      <c r="R122" s="25"/>
      <c r="S122" s="25"/>
      <c r="T122" s="25"/>
      <c r="U122" s="25">
        <f t="shared" ref="U122:AJ122" si="295">U119/U98</f>
        <v>-0.24103378143757134</v>
      </c>
      <c r="V122" s="25">
        <f t="shared" si="295"/>
        <v>-0.42401052253975852</v>
      </c>
      <c r="W122" s="25">
        <f t="shared" si="295"/>
        <v>-0.46680230586639543</v>
      </c>
      <c r="X122" s="25">
        <f t="shared" si="295"/>
        <v>-0.32764140875133396</v>
      </c>
      <c r="Y122" s="25">
        <f t="shared" si="295"/>
        <v>-0.30201771653543286</v>
      </c>
      <c r="Z122" s="25">
        <f t="shared" si="295"/>
        <v>-0.28120679439067747</v>
      </c>
      <c r="AA122" s="25">
        <f t="shared" si="295"/>
        <v>-0.2188952213941254</v>
      </c>
      <c r="AB122" s="25">
        <f t="shared" si="295"/>
        <v>-0.17071428571428565</v>
      </c>
      <c r="AC122" s="25">
        <f t="shared" si="295"/>
        <v>-0.11351889429151166</v>
      </c>
      <c r="AD122" s="25">
        <f t="shared" si="295"/>
        <v>-0.10503273645184191</v>
      </c>
      <c r="AE122" s="25">
        <f t="shared" si="295"/>
        <v>-3.1192236598890925E-2</v>
      </c>
      <c r="AF122" s="25">
        <f t="shared" si="295"/>
        <v>-4.5542968303009461E-2</v>
      </c>
      <c r="AG122" s="25">
        <f t="shared" si="295"/>
        <v>-9.0185676392572994E-2</v>
      </c>
      <c r="AH122" s="25">
        <f t="shared" si="295"/>
        <v>-0.10025696455520648</v>
      </c>
      <c r="AI122" s="25">
        <f t="shared" si="295"/>
        <v>-8.361735166540632E-2</v>
      </c>
      <c r="AJ122" s="25">
        <f t="shared" si="295"/>
        <v>-2.0128426772042331E-2</v>
      </c>
    </row>
    <row r="123" spans="1:39" s="155" customFormat="1" x14ac:dyDescent="0.25">
      <c r="A123" s="154"/>
      <c r="B123" s="154"/>
      <c r="C123" s="25"/>
      <c r="D123" s="25"/>
      <c r="E123" s="25"/>
      <c r="F123" s="25"/>
      <c r="G123" s="25"/>
      <c r="H123" s="25"/>
      <c r="I123" s="41"/>
      <c r="J123" s="25"/>
      <c r="K123" s="25"/>
      <c r="L123" s="25"/>
      <c r="M123" s="25"/>
      <c r="N123" s="25"/>
      <c r="O123" s="25"/>
      <c r="P123" s="25"/>
      <c r="Q123" s="55"/>
      <c r="R123" s="25"/>
      <c r="S123" s="25"/>
      <c r="T123" s="25"/>
      <c r="U123" s="25"/>
      <c r="V123" s="25"/>
      <c r="W123" s="25"/>
      <c r="X123" s="25"/>
      <c r="Y123" s="25"/>
      <c r="Z123" s="25"/>
      <c r="AA123" s="25"/>
      <c r="AB123" s="25"/>
      <c r="AC123" s="25"/>
      <c r="AD123" s="25"/>
      <c r="AE123" s="25"/>
      <c r="AF123" s="25"/>
      <c r="AG123" s="25"/>
      <c r="AH123" s="25"/>
      <c r="AI123" s="25"/>
      <c r="AJ123" s="25"/>
    </row>
    <row r="124" spans="1:39" x14ac:dyDescent="0.25">
      <c r="A124" s="22"/>
      <c r="B124" s="22"/>
      <c r="C124" s="18"/>
      <c r="D124" s="18"/>
      <c r="E124" s="18"/>
      <c r="F124" s="18"/>
      <c r="G124" s="18"/>
      <c r="H124" s="18"/>
      <c r="I124" s="12"/>
      <c r="J124" s="18"/>
      <c r="K124" s="18"/>
      <c r="L124" s="18"/>
      <c r="M124" s="18"/>
      <c r="N124" s="20"/>
      <c r="O124" s="20"/>
      <c r="P124" s="20"/>
      <c r="Q124" s="21"/>
      <c r="R124" s="20"/>
      <c r="S124" s="20"/>
      <c r="T124" s="20"/>
      <c r="U124" s="21"/>
      <c r="V124" s="20"/>
      <c r="W124" s="20"/>
      <c r="X124" s="20"/>
      <c r="Y124" s="20"/>
      <c r="Z124" s="20"/>
      <c r="AA124" s="20"/>
      <c r="AB124" s="20"/>
      <c r="AC124" s="20"/>
      <c r="AD124" s="20"/>
      <c r="AE124" s="20"/>
      <c r="AF124" s="18"/>
      <c r="AG124" s="20"/>
      <c r="AH124" s="20"/>
      <c r="AI124" s="20"/>
      <c r="AJ124" s="20"/>
    </row>
    <row r="125" spans="1:39" x14ac:dyDescent="0.25">
      <c r="A125" s="51" t="s">
        <v>158</v>
      </c>
      <c r="B125" s="1">
        <v>2017</v>
      </c>
      <c r="C125" s="1">
        <v>2018</v>
      </c>
      <c r="D125" s="1">
        <v>2019</v>
      </c>
      <c r="E125" s="1">
        <v>2020</v>
      </c>
      <c r="F125" s="1">
        <v>2021</v>
      </c>
      <c r="G125" s="1">
        <v>2022</v>
      </c>
      <c r="H125" s="1">
        <v>2023</v>
      </c>
      <c r="I125" s="1"/>
      <c r="J125" s="1" t="s">
        <v>1</v>
      </c>
      <c r="K125" s="1" t="s">
        <v>2</v>
      </c>
      <c r="L125" s="1" t="s">
        <v>3</v>
      </c>
      <c r="M125" s="1" t="s">
        <v>4</v>
      </c>
      <c r="N125" s="1" t="s">
        <v>5</v>
      </c>
      <c r="O125" s="1" t="s">
        <v>6</v>
      </c>
      <c r="P125" s="1" t="s">
        <v>7</v>
      </c>
      <c r="Q125" s="2" t="s">
        <v>8</v>
      </c>
      <c r="R125" s="1" t="s">
        <v>9</v>
      </c>
      <c r="S125" s="1" t="s">
        <v>10</v>
      </c>
      <c r="T125" s="1" t="s">
        <v>11</v>
      </c>
      <c r="U125" s="1" t="s">
        <v>12</v>
      </c>
      <c r="V125" s="1" t="s">
        <v>13</v>
      </c>
      <c r="W125" s="1" t="s">
        <v>14</v>
      </c>
      <c r="X125" s="1" t="s">
        <v>15</v>
      </c>
      <c r="Y125" s="1" t="s">
        <v>16</v>
      </c>
      <c r="Z125" s="1" t="s">
        <v>17</v>
      </c>
      <c r="AA125" s="1" t="s">
        <v>18</v>
      </c>
      <c r="AB125" s="1" t="s">
        <v>19</v>
      </c>
      <c r="AC125" s="2" t="s">
        <v>20</v>
      </c>
      <c r="AD125" s="1" t="s">
        <v>21</v>
      </c>
      <c r="AE125" s="1" t="s">
        <v>22</v>
      </c>
      <c r="AF125" s="1" t="s">
        <v>23</v>
      </c>
      <c r="AG125" s="2" t="s">
        <v>24</v>
      </c>
      <c r="AH125" s="1" t="s">
        <v>25</v>
      </c>
      <c r="AI125" s="1" t="s">
        <v>26</v>
      </c>
      <c r="AJ125" s="1" t="s">
        <v>27</v>
      </c>
    </row>
    <row r="126" spans="1:39" s="61" customFormat="1" x14ac:dyDescent="0.25">
      <c r="A126" s="143" t="s">
        <v>166</v>
      </c>
      <c r="B126" s="144"/>
      <c r="C126" s="144">
        <f t="shared" ref="C126:H126" si="296">C7</f>
        <v>754.1</v>
      </c>
      <c r="D126" s="144">
        <f t="shared" si="296"/>
        <v>1102.9000000000001</v>
      </c>
      <c r="E126" s="144">
        <f t="shared" si="296"/>
        <v>2305.4</v>
      </c>
      <c r="F126" s="144">
        <f t="shared" si="296"/>
        <v>4045.5</v>
      </c>
      <c r="G126" s="144">
        <f t="shared" si="296"/>
        <v>6141</v>
      </c>
      <c r="H126" s="144">
        <f t="shared" si="296"/>
        <v>6491.7</v>
      </c>
      <c r="J126" s="150"/>
      <c r="K126" s="150"/>
      <c r="L126" s="150"/>
      <c r="M126" s="150"/>
      <c r="N126" s="150"/>
      <c r="O126" s="150"/>
      <c r="P126" s="145"/>
      <c r="Q126" s="145"/>
      <c r="R126" s="144">
        <f t="shared" ref="R126:AJ126" si="297">R7</f>
        <v>507.6</v>
      </c>
      <c r="S126" s="144">
        <f t="shared" si="297"/>
        <v>485.8</v>
      </c>
      <c r="T126" s="144">
        <f t="shared" si="297"/>
        <v>582.5</v>
      </c>
      <c r="U126" s="144">
        <f t="shared" si="297"/>
        <v>729.3</v>
      </c>
      <c r="V126" s="144">
        <f t="shared" si="297"/>
        <v>778.2</v>
      </c>
      <c r="W126" s="144">
        <f t="shared" si="297"/>
        <v>881</v>
      </c>
      <c r="X126" s="144">
        <f t="shared" si="297"/>
        <v>1072.4000000000001</v>
      </c>
      <c r="Y126" s="144">
        <f t="shared" si="297"/>
        <v>1313.6</v>
      </c>
      <c r="Z126" s="144">
        <f t="shared" si="297"/>
        <v>1402.2</v>
      </c>
      <c r="AA126" s="144">
        <f t="shared" si="297"/>
        <v>1465.4</v>
      </c>
      <c r="AB126" s="144">
        <f t="shared" si="297"/>
        <v>1544.2</v>
      </c>
      <c r="AC126" s="144">
        <f t="shared" si="297"/>
        <v>1729</v>
      </c>
      <c r="AD126" s="144">
        <f t="shared" si="297"/>
        <v>1786.6</v>
      </c>
      <c r="AE126" s="144">
        <f t="shared" si="297"/>
        <v>1616.3999999999999</v>
      </c>
      <c r="AF126" s="144">
        <f t="shared" si="297"/>
        <v>1540.2</v>
      </c>
      <c r="AG126" s="144">
        <f t="shared" si="297"/>
        <v>1548.5</v>
      </c>
      <c r="AH126" s="144">
        <f t="shared" si="297"/>
        <v>1278.5</v>
      </c>
      <c r="AI126" s="144">
        <f t="shared" si="297"/>
        <v>912.44799999999998</v>
      </c>
      <c r="AJ126" s="144">
        <f t="shared" si="297"/>
        <v>930.2</v>
      </c>
      <c r="AL126" s="144"/>
      <c r="AM126" s="144"/>
    </row>
    <row r="127" spans="1:39" s="57" customFormat="1" x14ac:dyDescent="0.25">
      <c r="A127" s="65" t="s">
        <v>167</v>
      </c>
      <c r="B127" s="66"/>
      <c r="C127" s="67">
        <f t="shared" ref="C127:H127" si="298">C128-C126</f>
        <v>-1560.8400000000001</v>
      </c>
      <c r="D127" s="67">
        <f t="shared" si="298"/>
        <v>-1835.2</v>
      </c>
      <c r="E127" s="67">
        <f t="shared" si="298"/>
        <v>-2623.0660000000003</v>
      </c>
      <c r="F127" s="67">
        <f t="shared" si="298"/>
        <v>-4621.7759999999998</v>
      </c>
      <c r="G127" s="67">
        <f t="shared" si="298"/>
        <v>-5666.25</v>
      </c>
      <c r="H127" s="67">
        <f t="shared" si="298"/>
        <v>-5648.87</v>
      </c>
      <c r="I127" s="318" t="s">
        <v>297</v>
      </c>
      <c r="J127" s="58"/>
      <c r="K127" s="58"/>
      <c r="L127" s="58"/>
      <c r="M127" s="58"/>
      <c r="N127" s="58"/>
      <c r="O127" s="58"/>
      <c r="P127" s="59"/>
      <c r="Q127" s="59"/>
      <c r="R127" s="67">
        <f t="shared" ref="R127:AJ127" si="299">R128-R126</f>
        <v>-507.6</v>
      </c>
      <c r="S127" s="67">
        <f t="shared" si="299"/>
        <v>-538.17000000000007</v>
      </c>
      <c r="T127" s="67">
        <f t="shared" si="299"/>
        <v>-678.51499999999999</v>
      </c>
      <c r="U127" s="67">
        <f t="shared" si="299"/>
        <v>-898.5809999999999</v>
      </c>
      <c r="V127" s="67">
        <f t="shared" si="299"/>
        <v>-1014.408</v>
      </c>
      <c r="W127" s="67">
        <f t="shared" si="299"/>
        <v>-1097.4760000000001</v>
      </c>
      <c r="X127" s="67">
        <f t="shared" si="299"/>
        <v>-1140.3920000000001</v>
      </c>
      <c r="Y127" s="67">
        <f t="shared" si="299"/>
        <v>-1369.1999999999998</v>
      </c>
      <c r="Z127" s="67">
        <f t="shared" si="299"/>
        <v>-1416.6320000000001</v>
      </c>
      <c r="AA127" s="67">
        <f t="shared" si="299"/>
        <v>-1405.7760000000001</v>
      </c>
      <c r="AB127" s="67">
        <f t="shared" si="299"/>
        <v>-1387.0900000000001</v>
      </c>
      <c r="AC127" s="67">
        <f t="shared" si="299"/>
        <v>-1456.5520000000001</v>
      </c>
      <c r="AD127" s="67">
        <f t="shared" si="299"/>
        <v>-1620.712</v>
      </c>
      <c r="AE127" s="67">
        <f t="shared" si="299"/>
        <v>-1377.1219999999998</v>
      </c>
      <c r="AF127" s="67">
        <f t="shared" si="299"/>
        <v>-1288.046</v>
      </c>
      <c r="AG127" s="68">
        <f t="shared" si="299"/>
        <v>-1362.99</v>
      </c>
      <c r="AH127" s="67">
        <f t="shared" si="299"/>
        <v>-1156.7190492314546</v>
      </c>
      <c r="AI127" s="67">
        <f t="shared" si="299"/>
        <v>-804.44799999999998</v>
      </c>
      <c r="AJ127" s="67">
        <f t="shared" si="299"/>
        <v>-855.05221761006294</v>
      </c>
      <c r="AK127" s="256"/>
      <c r="AL127" s="67"/>
    </row>
    <row r="128" spans="1:39" s="61" customFormat="1" x14ac:dyDescent="0.25">
      <c r="A128" s="5" t="s">
        <v>154</v>
      </c>
      <c r="B128" s="73"/>
      <c r="C128" s="60">
        <f>C131*C178</f>
        <v>-806.74</v>
      </c>
      <c r="D128" s="60">
        <f>D131*D178</f>
        <v>-732.3</v>
      </c>
      <c r="E128" s="60">
        <f>SUM(R128:U128)</f>
        <v>-317.666</v>
      </c>
      <c r="F128" s="60">
        <f>SUM(V128:Y128)</f>
        <v>-576.27599999999995</v>
      </c>
      <c r="G128" s="60">
        <f>G131*G178</f>
        <v>474.75</v>
      </c>
      <c r="H128" s="60">
        <f>SUM(AD128:AG128)</f>
        <v>842.82999999999993</v>
      </c>
      <c r="J128" s="62"/>
      <c r="K128" s="62"/>
      <c r="L128" s="62"/>
      <c r="M128" s="62"/>
      <c r="N128" s="62"/>
      <c r="O128" s="62"/>
      <c r="P128" s="63"/>
      <c r="Q128" s="63"/>
      <c r="R128" s="60">
        <f t="shared" ref="R128:AB128" si="300">R131*R178</f>
        <v>0</v>
      </c>
      <c r="S128" s="60">
        <f t="shared" si="300"/>
        <v>-52.370000000000005</v>
      </c>
      <c r="T128" s="60">
        <f t="shared" si="300"/>
        <v>-96.015000000000001</v>
      </c>
      <c r="U128" s="60">
        <f t="shared" si="300"/>
        <v>-169.28100000000001</v>
      </c>
      <c r="V128" s="60">
        <f t="shared" si="300"/>
        <v>-236.20799999999997</v>
      </c>
      <c r="W128" s="60">
        <f t="shared" si="300"/>
        <v>-216.476</v>
      </c>
      <c r="X128" s="60">
        <f t="shared" si="300"/>
        <v>-67.992000000000004</v>
      </c>
      <c r="Y128" s="60">
        <f t="shared" si="300"/>
        <v>-55.6</v>
      </c>
      <c r="Z128" s="60">
        <f t="shared" si="300"/>
        <v>-14.432</v>
      </c>
      <c r="AA128" s="60">
        <f t="shared" si="300"/>
        <v>59.624000000000002</v>
      </c>
      <c r="AB128" s="60">
        <f t="shared" si="300"/>
        <v>157.11000000000001</v>
      </c>
      <c r="AC128" s="60">
        <f>G128-SUM(Z128:AB128)</f>
        <v>272.44799999999998</v>
      </c>
      <c r="AD128" s="60">
        <f t="shared" ref="AD128:AJ128" si="301">AD131*AD178</f>
        <v>165.88799999999998</v>
      </c>
      <c r="AE128" s="60">
        <f t="shared" si="301"/>
        <v>239.27799999999999</v>
      </c>
      <c r="AF128" s="60">
        <f t="shared" si="301"/>
        <v>252.154</v>
      </c>
      <c r="AG128" s="60">
        <f t="shared" si="301"/>
        <v>185.51</v>
      </c>
      <c r="AH128" s="60">
        <f t="shared" si="301"/>
        <v>121.78095076854534</v>
      </c>
      <c r="AI128" s="60">
        <f t="shared" si="301"/>
        <v>108</v>
      </c>
      <c r="AJ128" s="60">
        <f t="shared" si="301"/>
        <v>75.147782389937106</v>
      </c>
      <c r="AL128" s="60"/>
      <c r="AM128" s="60"/>
    </row>
    <row r="129" spans="1:39" s="61" customFormat="1" x14ac:dyDescent="0.25">
      <c r="A129" s="71" t="s">
        <v>241</v>
      </c>
      <c r="B129" s="69"/>
      <c r="C129" s="56">
        <f t="shared" ref="C129:H129" si="302">C128/C126</f>
        <v>-1.0698050656411617</v>
      </c>
      <c r="D129" s="56">
        <f t="shared" si="302"/>
        <v>-0.66397678846676933</v>
      </c>
      <c r="E129" s="56">
        <f t="shared" si="302"/>
        <v>-0.13779214019259131</v>
      </c>
      <c r="F129" s="56">
        <f t="shared" si="302"/>
        <v>-0.14244864664441972</v>
      </c>
      <c r="G129" s="56">
        <f t="shared" si="302"/>
        <v>7.7308255984367372E-2</v>
      </c>
      <c r="H129" s="56">
        <f t="shared" si="302"/>
        <v>0.1298319392454981</v>
      </c>
      <c r="J129" s="63"/>
      <c r="K129" s="63"/>
      <c r="L129" s="63"/>
      <c r="M129" s="63"/>
      <c r="N129" s="63"/>
      <c r="O129" s="63"/>
      <c r="P129" s="63"/>
      <c r="Q129" s="63"/>
      <c r="R129" s="56">
        <f t="shared" ref="R129:AJ129" si="303">R128/R126</f>
        <v>0</v>
      </c>
      <c r="S129" s="56">
        <f t="shared" si="303"/>
        <v>-0.10780156442980651</v>
      </c>
      <c r="T129" s="56">
        <f t="shared" si="303"/>
        <v>-0.16483261802575108</v>
      </c>
      <c r="U129" s="56">
        <f t="shared" si="303"/>
        <v>-0.23211435623200333</v>
      </c>
      <c r="V129" s="56">
        <f t="shared" si="303"/>
        <v>-0.30353122590593673</v>
      </c>
      <c r="W129" s="56">
        <f t="shared" si="303"/>
        <v>-0.24571623155505107</v>
      </c>
      <c r="X129" s="56">
        <f t="shared" si="303"/>
        <v>-6.3401715777694892E-2</v>
      </c>
      <c r="Y129" s="56">
        <f t="shared" si="303"/>
        <v>-4.2326431181485998E-2</v>
      </c>
      <c r="Z129" s="56">
        <f t="shared" si="303"/>
        <v>-1.0292397660818714E-2</v>
      </c>
      <c r="AA129" s="56">
        <f t="shared" si="303"/>
        <v>4.0687866794049406E-2</v>
      </c>
      <c r="AB129" s="56">
        <f t="shared" si="303"/>
        <v>0.10174200233130425</v>
      </c>
      <c r="AC129" s="56">
        <f t="shared" si="303"/>
        <v>0.15757547715442452</v>
      </c>
      <c r="AD129" s="56">
        <f t="shared" si="303"/>
        <v>9.285122579200715E-2</v>
      </c>
      <c r="AE129" s="56">
        <f t="shared" si="303"/>
        <v>0.14803142786439</v>
      </c>
      <c r="AF129" s="56">
        <f t="shared" si="303"/>
        <v>0.16371510193481364</v>
      </c>
      <c r="AG129" s="55">
        <f t="shared" si="303"/>
        <v>0.11979980626412656</v>
      </c>
      <c r="AH129" s="56">
        <f t="shared" si="303"/>
        <v>9.5252992388381183E-2</v>
      </c>
      <c r="AI129" s="56">
        <f t="shared" si="303"/>
        <v>0.11836290944799047</v>
      </c>
      <c r="AJ129" s="56">
        <f t="shared" si="303"/>
        <v>8.0786693603458512E-2</v>
      </c>
      <c r="AL129" s="56"/>
      <c r="AM129" s="56"/>
    </row>
    <row r="130" spans="1:39" s="61" customFormat="1" x14ac:dyDescent="0.25">
      <c r="A130" s="71"/>
      <c r="B130" s="69"/>
      <c r="C130" s="56"/>
      <c r="D130" s="56"/>
      <c r="E130" s="56"/>
      <c r="F130" s="56"/>
      <c r="G130" s="56"/>
      <c r="H130" s="56"/>
      <c r="J130" s="63"/>
      <c r="K130" s="63"/>
      <c r="L130" s="63"/>
      <c r="M130" s="63"/>
      <c r="N130" s="63"/>
      <c r="O130" s="63"/>
      <c r="P130" s="63"/>
      <c r="Q130" s="63"/>
      <c r="R130" s="56"/>
      <c r="S130" s="56"/>
      <c r="T130" s="56"/>
      <c r="U130" s="56"/>
      <c r="V130" s="56"/>
      <c r="W130" s="56"/>
      <c r="X130" s="56"/>
      <c r="Y130" s="56"/>
      <c r="Z130" s="56"/>
      <c r="AA130" s="56"/>
      <c r="AB130" s="56"/>
      <c r="AC130" s="56"/>
      <c r="AD130" s="56"/>
      <c r="AE130" s="56"/>
      <c r="AF130" s="56"/>
      <c r="AG130" s="55"/>
      <c r="AH130" s="56"/>
      <c r="AI130" s="56"/>
      <c r="AJ130" s="56"/>
    </row>
    <row r="131" spans="1:39" s="61" customFormat="1" x14ac:dyDescent="0.25">
      <c r="A131" s="72" t="s">
        <v>168</v>
      </c>
      <c r="B131" s="73"/>
      <c r="C131" s="74">
        <f>-11%</f>
        <v>-0.11</v>
      </c>
      <c r="D131" s="74">
        <f>-6%</f>
        <v>-0.06</v>
      </c>
      <c r="E131" s="47">
        <f>E128/E178</f>
        <v>-1.2574855514211067E-2</v>
      </c>
      <c r="F131" s="47">
        <f>F128/F178</f>
        <v>-1.3370672853828305E-2</v>
      </c>
      <c r="G131" s="75">
        <v>7.4999999999999997E-3</v>
      </c>
      <c r="H131" s="40">
        <f>H128/H178</f>
        <v>1.1482697547683923E-2</v>
      </c>
      <c r="I131" s="151" t="s">
        <v>182</v>
      </c>
      <c r="J131" s="62"/>
      <c r="K131" s="62"/>
      <c r="L131" s="62"/>
      <c r="M131" s="62"/>
      <c r="N131" s="62"/>
      <c r="O131" s="62"/>
      <c r="P131" s="63"/>
      <c r="Q131" s="63"/>
      <c r="R131" s="74">
        <v>0</v>
      </c>
      <c r="S131" s="75">
        <f>-1%</f>
        <v>-0.01</v>
      </c>
      <c r="T131" s="76">
        <v>-1.4999999999999999E-2</v>
      </c>
      <c r="U131" s="76">
        <v>-2.1000000000000001E-2</v>
      </c>
      <c r="V131" s="74">
        <f>-2.8%</f>
        <v>-2.7999999999999997E-2</v>
      </c>
      <c r="W131" s="74">
        <f>-2.3%</f>
        <v>-2.3E-2</v>
      </c>
      <c r="X131" s="74">
        <f>-0.6%</f>
        <v>-6.0000000000000001E-3</v>
      </c>
      <c r="Y131" s="74">
        <f>-0.4%</f>
        <v>-4.0000000000000001E-3</v>
      </c>
      <c r="Z131" s="74">
        <f>-0.1%</f>
        <v>-1E-3</v>
      </c>
      <c r="AA131" s="74">
        <v>4.0000000000000001E-3</v>
      </c>
      <c r="AB131" s="74">
        <v>0.01</v>
      </c>
      <c r="AC131" s="77">
        <f>AC128/AC178</f>
        <v>1.4927839570434495E-2</v>
      </c>
      <c r="AD131" s="75">
        <v>8.9999999999999993E-3</v>
      </c>
      <c r="AE131" s="75">
        <v>1.2999999999999999E-2</v>
      </c>
      <c r="AF131" s="75">
        <v>1.4E-2</v>
      </c>
      <c r="AG131" s="75">
        <v>0.01</v>
      </c>
      <c r="AH131" s="134">
        <v>7.0000000000000001E-3</v>
      </c>
      <c r="AI131" s="134">
        <v>6.0000000000000001E-3</v>
      </c>
      <c r="AJ131" s="134">
        <v>5.0000000000000001E-3</v>
      </c>
    </row>
    <row r="132" spans="1:39" x14ac:dyDescent="0.25">
      <c r="I132" s="78"/>
      <c r="AK132" s="78"/>
    </row>
    <row r="133" spans="1:39" x14ac:dyDescent="0.25">
      <c r="A133" s="10" t="s">
        <v>45</v>
      </c>
      <c r="C133" s="133">
        <f t="shared" ref="C133:G133" si="304">C75*90%+C74+C73</f>
        <v>-396.81</v>
      </c>
      <c r="D133" s="133">
        <f t="shared" si="304"/>
        <v>-435.05</v>
      </c>
      <c r="E133" s="133">
        <f t="shared" si="304"/>
        <v>-568.20000000000005</v>
      </c>
      <c r="F133" s="133">
        <f t="shared" si="304"/>
        <v>-1087.6500000000001</v>
      </c>
      <c r="G133" s="133">
        <f t="shared" si="304"/>
        <v>-1801.4999999999998</v>
      </c>
      <c r="H133" s="133">
        <f>H75*90%+H74+H73</f>
        <v>-1778.4100000000003</v>
      </c>
      <c r="I133" s="317" t="s">
        <v>311</v>
      </c>
      <c r="R133" s="42"/>
      <c r="S133" s="42"/>
      <c r="T133" s="42"/>
      <c r="U133" s="133">
        <f t="shared" ref="U133:AJ133" si="305">U75*90%+U74+U73</f>
        <v>-186.59100000000001</v>
      </c>
      <c r="V133" s="133">
        <f t="shared" si="305"/>
        <v>-241.7337</v>
      </c>
      <c r="W133" s="133">
        <f t="shared" si="305"/>
        <v>-322.88130000000018</v>
      </c>
      <c r="X133" s="133">
        <f t="shared" si="305"/>
        <v>-193.16249999999991</v>
      </c>
      <c r="Y133" s="133">
        <f t="shared" si="305"/>
        <v>-329.87249999999966</v>
      </c>
      <c r="Z133" s="133">
        <f t="shared" si="305"/>
        <v>-398.55390000000017</v>
      </c>
      <c r="AA133" s="133">
        <f t="shared" si="305"/>
        <v>-476.34450000000004</v>
      </c>
      <c r="AB133" s="133">
        <f t="shared" si="305"/>
        <v>-492.13139999999999</v>
      </c>
      <c r="AC133" s="133">
        <f t="shared" si="305"/>
        <v>-434.47019999999958</v>
      </c>
      <c r="AD133" s="133">
        <f t="shared" si="305"/>
        <v>-416.56389999999988</v>
      </c>
      <c r="AE133" s="133">
        <f t="shared" si="305"/>
        <v>-437.88309999999979</v>
      </c>
      <c r="AF133" s="133">
        <f t="shared" si="305"/>
        <v>-457.77039999999988</v>
      </c>
      <c r="AG133" s="133">
        <f t="shared" si="305"/>
        <v>-466.19260000000031</v>
      </c>
      <c r="AH133" s="133">
        <f t="shared" si="305"/>
        <v>-395.47010670527948</v>
      </c>
      <c r="AI133" s="133">
        <f t="shared" si="305"/>
        <v>-358.60499999999996</v>
      </c>
      <c r="AJ133" s="133">
        <f t="shared" si="305"/>
        <v>-359.36978173584907</v>
      </c>
    </row>
    <row r="134" spans="1:39" x14ac:dyDescent="0.25">
      <c r="A134" s="10" t="s">
        <v>46</v>
      </c>
      <c r="B134" s="79"/>
      <c r="C134" s="136">
        <f t="shared" ref="C134:H134" si="306">50%*C80</f>
        <v>-135.05000000000001</v>
      </c>
      <c r="D134" s="136">
        <f t="shared" si="306"/>
        <v>-166.9</v>
      </c>
      <c r="E134" s="136">
        <f t="shared" si="306"/>
        <v>-186.81666666666666</v>
      </c>
      <c r="F134" s="136">
        <f t="shared" si="306"/>
        <v>-286.95</v>
      </c>
      <c r="G134" s="136">
        <f t="shared" si="306"/>
        <v>-315.45</v>
      </c>
      <c r="H134" s="136">
        <f t="shared" si="306"/>
        <v>-208.15</v>
      </c>
      <c r="I134" s="249" t="s">
        <v>221</v>
      </c>
      <c r="R134" s="156"/>
      <c r="S134" s="156"/>
      <c r="T134" s="156"/>
      <c r="U134" s="136">
        <f t="shared" ref="U134:AJ134" si="307">50%*U80</f>
        <v>-48.616666666666674</v>
      </c>
      <c r="V134" s="136">
        <f t="shared" si="307"/>
        <v>-62.05</v>
      </c>
      <c r="W134" s="136">
        <f t="shared" si="307"/>
        <v>-66.150000000000006</v>
      </c>
      <c r="X134" s="136">
        <f t="shared" si="307"/>
        <v>-74</v>
      </c>
      <c r="Y134" s="136">
        <f t="shared" si="307"/>
        <v>-84.75</v>
      </c>
      <c r="Z134" s="136">
        <f t="shared" si="307"/>
        <v>-82.3</v>
      </c>
      <c r="AA134" s="136">
        <f t="shared" si="307"/>
        <v>-80</v>
      </c>
      <c r="AB134" s="136">
        <f t="shared" si="307"/>
        <v>-90.25</v>
      </c>
      <c r="AC134" s="136">
        <f t="shared" si="307"/>
        <v>-62.899999999999977</v>
      </c>
      <c r="AD134" s="136">
        <f t="shared" si="307"/>
        <v>-64.349999999999994</v>
      </c>
      <c r="AE134" s="136">
        <f t="shared" si="307"/>
        <v>-50.95</v>
      </c>
      <c r="AF134" s="136">
        <f t="shared" si="307"/>
        <v>-47</v>
      </c>
      <c r="AG134" s="136">
        <f t="shared" si="307"/>
        <v>-45.849999999999994</v>
      </c>
      <c r="AH134" s="136">
        <f t="shared" si="307"/>
        <v>-47.05</v>
      </c>
      <c r="AI134" s="136">
        <f t="shared" si="307"/>
        <v>-42.65</v>
      </c>
      <c r="AJ134" s="136">
        <f t="shared" si="307"/>
        <v>-45.15</v>
      </c>
    </row>
    <row r="135" spans="1:39" s="251" customFormat="1" x14ac:dyDescent="0.25">
      <c r="A135" s="13" t="s">
        <v>47</v>
      </c>
      <c r="B135" s="67"/>
      <c r="C135" s="137">
        <f t="shared" ref="C135:H135" si="308">50%*C83+C82</f>
        <v>-212.5</v>
      </c>
      <c r="D135" s="137">
        <f t="shared" si="308"/>
        <v>-214.7</v>
      </c>
      <c r="E135" s="137">
        <f t="shared" si="308"/>
        <v>-295.81666666666666</v>
      </c>
      <c r="F135" s="137">
        <f t="shared" si="308"/>
        <v>-269.39999999999998</v>
      </c>
      <c r="G135" s="137">
        <f t="shared" si="308"/>
        <v>-275.14999999999998</v>
      </c>
      <c r="H135" s="137">
        <f t="shared" si="308"/>
        <v>-150.45000000000002</v>
      </c>
      <c r="I135" s="319" t="s">
        <v>298</v>
      </c>
      <c r="R135" s="123"/>
      <c r="S135" s="123"/>
      <c r="T135" s="123"/>
      <c r="U135" s="137">
        <f t="shared" ref="U135:AJ135" si="309">50%*U83+U82</f>
        <v>-67.891666666666652</v>
      </c>
      <c r="V135" s="137">
        <f t="shared" si="309"/>
        <v>-68.787499999999994</v>
      </c>
      <c r="W135" s="137">
        <f t="shared" si="309"/>
        <v>-67.287499999999994</v>
      </c>
      <c r="X135" s="137">
        <f t="shared" si="309"/>
        <v>-66.587500000000006</v>
      </c>
      <c r="Y135" s="137">
        <f t="shared" si="309"/>
        <v>-66.637499999999989</v>
      </c>
      <c r="Z135" s="137">
        <f t="shared" si="309"/>
        <v>-54.712499999999991</v>
      </c>
      <c r="AA135" s="137">
        <f t="shared" si="309"/>
        <v>-70.012500000000003</v>
      </c>
      <c r="AB135" s="137">
        <f t="shared" si="309"/>
        <v>-75.8125</v>
      </c>
      <c r="AC135" s="137">
        <f t="shared" si="309"/>
        <v>-74.5625</v>
      </c>
      <c r="AD135" s="137">
        <f t="shared" si="309"/>
        <v>-48.862499999999997</v>
      </c>
      <c r="AE135" s="137">
        <f t="shared" si="309"/>
        <v>-34.762500000000003</v>
      </c>
      <c r="AF135" s="137">
        <f t="shared" si="309"/>
        <v>-18.612500000000004</v>
      </c>
      <c r="AG135" s="137">
        <f t="shared" si="309"/>
        <v>-48.112500000000004</v>
      </c>
      <c r="AH135" s="137">
        <f t="shared" si="309"/>
        <v>-28.824999999999999</v>
      </c>
      <c r="AI135" s="137">
        <f t="shared" si="309"/>
        <v>-27.775000000000002</v>
      </c>
      <c r="AJ135" s="137">
        <f t="shared" si="309"/>
        <v>-26.774999999999999</v>
      </c>
    </row>
    <row r="136" spans="1:39" s="3" customFormat="1" x14ac:dyDescent="0.25">
      <c r="A136" s="3" t="s">
        <v>174</v>
      </c>
      <c r="C136" s="17">
        <f t="shared" ref="C136:H136" si="310">SUM(C128,C133:C135)</f>
        <v>-1551.1</v>
      </c>
      <c r="D136" s="17">
        <f t="shared" si="310"/>
        <v>-1548.95</v>
      </c>
      <c r="E136" s="17">
        <f t="shared" si="310"/>
        <v>-1368.4993333333332</v>
      </c>
      <c r="F136" s="17">
        <f t="shared" si="310"/>
        <v>-2220.2759999999998</v>
      </c>
      <c r="G136" s="17">
        <f t="shared" si="310"/>
        <v>-1917.35</v>
      </c>
      <c r="H136" s="17">
        <f t="shared" si="310"/>
        <v>-1294.1800000000005</v>
      </c>
      <c r="I136" s="3" t="s">
        <v>294</v>
      </c>
      <c r="R136" s="17"/>
      <c r="S136" s="17"/>
      <c r="T136" s="17"/>
      <c r="U136" s="17">
        <f t="shared" ref="U136:AH136" si="311">SUM(U128,U133:U135)</f>
        <v>-472.38033333333334</v>
      </c>
      <c r="V136" s="17">
        <f t="shared" si="311"/>
        <v>-608.77919999999995</v>
      </c>
      <c r="W136" s="17">
        <f t="shared" si="311"/>
        <v>-672.79480000000012</v>
      </c>
      <c r="X136" s="17">
        <f t="shared" si="311"/>
        <v>-401.74199999999996</v>
      </c>
      <c r="Y136" s="17">
        <f t="shared" si="311"/>
        <v>-536.85999999999967</v>
      </c>
      <c r="Z136" s="17">
        <f t="shared" si="311"/>
        <v>-549.99840000000017</v>
      </c>
      <c r="AA136" s="17">
        <f t="shared" si="311"/>
        <v>-566.73300000000006</v>
      </c>
      <c r="AB136" s="17">
        <f t="shared" si="311"/>
        <v>-501.08389999999997</v>
      </c>
      <c r="AC136" s="17">
        <f t="shared" si="311"/>
        <v>-299.48469999999958</v>
      </c>
      <c r="AD136" s="17">
        <f t="shared" si="311"/>
        <v>-363.88839999999988</v>
      </c>
      <c r="AE136" s="17">
        <f t="shared" si="311"/>
        <v>-284.3175999999998</v>
      </c>
      <c r="AF136" s="17">
        <f t="shared" si="311"/>
        <v>-271.2288999999999</v>
      </c>
      <c r="AG136" s="17">
        <f t="shared" si="311"/>
        <v>-374.64510000000035</v>
      </c>
      <c r="AH136" s="17">
        <f t="shared" si="311"/>
        <v>-349.56415593673415</v>
      </c>
      <c r="AI136" s="17">
        <f>SUM(AI128,AI133:AI135)</f>
        <v>-321.02999999999992</v>
      </c>
      <c r="AJ136" s="17">
        <f>SUM(AJ128,AJ133:AJ135)</f>
        <v>-356.14699934591192</v>
      </c>
      <c r="AK136" s="17"/>
    </row>
    <row r="137" spans="1:39" x14ac:dyDescent="0.25">
      <c r="A137" s="71" t="s">
        <v>183</v>
      </c>
      <c r="C137" s="56">
        <f t="shared" ref="C137:H137" si="312">C136/C126</f>
        <v>-2.0568890067630288</v>
      </c>
      <c r="D137" s="56">
        <f t="shared" si="312"/>
        <v>-1.4044337655272463</v>
      </c>
      <c r="E137" s="56">
        <f t="shared" si="312"/>
        <v>-0.59360602643069882</v>
      </c>
      <c r="F137" s="56">
        <f t="shared" si="312"/>
        <v>-0.54882610307749347</v>
      </c>
      <c r="G137" s="56">
        <f t="shared" si="312"/>
        <v>-0.31222113662269985</v>
      </c>
      <c r="H137" s="55">
        <f t="shared" si="312"/>
        <v>-0.19935918172435579</v>
      </c>
      <c r="R137" s="55"/>
      <c r="S137" s="55"/>
      <c r="T137" s="55"/>
      <c r="U137" s="56">
        <f t="shared" ref="U137:AJ137" si="313">U136/U126</f>
        <v>-0.64771744595274017</v>
      </c>
      <c r="V137" s="56">
        <f t="shared" si="313"/>
        <v>-0.7822914417887431</v>
      </c>
      <c r="W137" s="56">
        <f t="shared" si="313"/>
        <v>-0.76367173666288324</v>
      </c>
      <c r="X137" s="56">
        <f t="shared" si="313"/>
        <v>-0.37461954494591565</v>
      </c>
      <c r="Y137" s="56">
        <f t="shared" si="313"/>
        <v>-0.40869366626065751</v>
      </c>
      <c r="Z137" s="56">
        <f t="shared" si="313"/>
        <v>-0.3922396234488662</v>
      </c>
      <c r="AA137" s="56">
        <f t="shared" si="313"/>
        <v>-0.38674286884127201</v>
      </c>
      <c r="AB137" s="56">
        <f t="shared" si="313"/>
        <v>-0.32449417173941197</v>
      </c>
      <c r="AC137" s="55">
        <f t="shared" si="313"/>
        <v>-0.17321266628108709</v>
      </c>
      <c r="AD137" s="55">
        <f t="shared" si="313"/>
        <v>-0.20367648046568895</v>
      </c>
      <c r="AE137" s="55">
        <f t="shared" si="313"/>
        <v>-0.1758955704033654</v>
      </c>
      <c r="AF137" s="55">
        <f t="shared" si="313"/>
        <v>-0.17609979223477462</v>
      </c>
      <c r="AG137" s="55">
        <f t="shared" si="313"/>
        <v>-0.24194065224410743</v>
      </c>
      <c r="AH137" s="55">
        <f t="shared" si="313"/>
        <v>-0.27341740785039825</v>
      </c>
      <c r="AI137" s="55">
        <f t="shared" si="313"/>
        <v>-0.35183374833415154</v>
      </c>
      <c r="AJ137" s="55">
        <f t="shared" si="313"/>
        <v>-0.3828714247967232</v>
      </c>
      <c r="AK137" s="55"/>
    </row>
    <row r="139" spans="1:39" x14ac:dyDescent="0.25">
      <c r="A139" s="257" t="s">
        <v>42</v>
      </c>
      <c r="C139" s="253">
        <f t="shared" ref="C139:H139" si="314">-C73</f>
        <v>0</v>
      </c>
      <c r="D139" s="253">
        <f t="shared" si="314"/>
        <v>59.300000000000011</v>
      </c>
      <c r="E139" s="253">
        <f t="shared" si="314"/>
        <v>34.199999999999989</v>
      </c>
      <c r="F139" s="253">
        <f t="shared" si="314"/>
        <v>33.300000000000011</v>
      </c>
      <c r="G139" s="253">
        <f t="shared" si="314"/>
        <v>33.299999999999955</v>
      </c>
      <c r="H139" s="253">
        <f t="shared" si="314"/>
        <v>33.399999999999977</v>
      </c>
      <c r="R139" s="253"/>
      <c r="S139" s="253"/>
      <c r="T139" s="253"/>
      <c r="U139" s="253">
        <f t="shared" ref="U139:AJ139" si="315">-U73</f>
        <v>8.5499999999999972</v>
      </c>
      <c r="V139" s="253">
        <f t="shared" si="315"/>
        <v>8.3250000000000028</v>
      </c>
      <c r="W139" s="253">
        <f t="shared" si="315"/>
        <v>8.3250000000000028</v>
      </c>
      <c r="X139" s="253">
        <f t="shared" si="315"/>
        <v>8.3250000000000028</v>
      </c>
      <c r="Y139" s="253">
        <f t="shared" si="315"/>
        <v>8.3250000000000028</v>
      </c>
      <c r="Z139" s="253">
        <f t="shared" si="315"/>
        <v>8.3249999999999886</v>
      </c>
      <c r="AA139" s="253">
        <f t="shared" si="315"/>
        <v>8.3249999999999886</v>
      </c>
      <c r="AB139" s="253">
        <f t="shared" si="315"/>
        <v>8.3249999999999886</v>
      </c>
      <c r="AC139" s="253">
        <f t="shared" si="315"/>
        <v>8.3249999999999886</v>
      </c>
      <c r="AD139" s="253">
        <f t="shared" si="315"/>
        <v>8.3499999999999943</v>
      </c>
      <c r="AE139" s="253">
        <f t="shared" si="315"/>
        <v>8.3499999999999943</v>
      </c>
      <c r="AF139" s="253">
        <f t="shared" si="315"/>
        <v>8.3499999999999943</v>
      </c>
      <c r="AG139" s="253">
        <f t="shared" si="315"/>
        <v>8.3499999999999943</v>
      </c>
      <c r="AH139" s="253">
        <f t="shared" si="315"/>
        <v>8.3249999999999993</v>
      </c>
      <c r="AI139" s="253">
        <f t="shared" si="315"/>
        <v>8.3249999999999993</v>
      </c>
      <c r="AJ139" s="253">
        <f t="shared" si="315"/>
        <v>8.3249999999999993</v>
      </c>
    </row>
    <row r="140" spans="1:39" s="251" customFormat="1" x14ac:dyDescent="0.25">
      <c r="A140" s="80" t="s">
        <v>70</v>
      </c>
      <c r="C140" s="258">
        <f t="shared" ref="C140:H140" si="316">-(C74+C82)</f>
        <v>142.5</v>
      </c>
      <c r="D140" s="258">
        <f t="shared" si="316"/>
        <v>148.1</v>
      </c>
      <c r="E140" s="258">
        <f t="shared" si="316"/>
        <v>148</v>
      </c>
      <c r="F140" s="258">
        <f t="shared" si="316"/>
        <v>138.5</v>
      </c>
      <c r="G140" s="258">
        <f t="shared" si="316"/>
        <v>434.70000000000005</v>
      </c>
      <c r="H140" s="258">
        <f t="shared" si="316"/>
        <v>466.6</v>
      </c>
      <c r="I140" s="251" t="s">
        <v>162</v>
      </c>
      <c r="R140" s="258"/>
      <c r="S140" s="258"/>
      <c r="T140" s="258"/>
      <c r="U140" s="258">
        <f t="shared" ref="U140:AJ140" si="317">-(U74+U82)</f>
        <v>35.35</v>
      </c>
      <c r="V140" s="258">
        <f t="shared" si="317"/>
        <v>34.875</v>
      </c>
      <c r="W140" s="258">
        <f t="shared" si="317"/>
        <v>34.474999999999994</v>
      </c>
      <c r="X140" s="258">
        <f t="shared" si="317"/>
        <v>34.674999999999997</v>
      </c>
      <c r="Y140" s="258">
        <f t="shared" si="317"/>
        <v>34.274999999999999</v>
      </c>
      <c r="Z140" s="258">
        <f t="shared" si="317"/>
        <v>60.975000000000009</v>
      </c>
      <c r="AA140" s="258">
        <f t="shared" si="317"/>
        <v>120.375</v>
      </c>
      <c r="AB140" s="258">
        <f t="shared" si="317"/>
        <v>124.875</v>
      </c>
      <c r="AC140" s="258">
        <f t="shared" si="317"/>
        <v>128.375</v>
      </c>
      <c r="AD140" s="258">
        <f t="shared" si="317"/>
        <v>123.85</v>
      </c>
      <c r="AE140" s="258">
        <f t="shared" si="317"/>
        <v>117.75</v>
      </c>
      <c r="AF140" s="258">
        <f t="shared" si="317"/>
        <v>112.85000000000001</v>
      </c>
      <c r="AG140" s="258">
        <f t="shared" si="317"/>
        <v>111.95</v>
      </c>
      <c r="AH140" s="258">
        <f t="shared" si="317"/>
        <v>111.675</v>
      </c>
      <c r="AI140" s="258">
        <f t="shared" si="317"/>
        <v>112.075</v>
      </c>
      <c r="AJ140" s="258">
        <f t="shared" si="317"/>
        <v>110.175</v>
      </c>
    </row>
    <row r="141" spans="1:39" s="3" customFormat="1" x14ac:dyDescent="0.25">
      <c r="A141" s="3" t="s">
        <v>175</v>
      </c>
      <c r="C141" s="17">
        <f>C136+SUM(C139:C140)</f>
        <v>-1408.6</v>
      </c>
      <c r="D141" s="17">
        <f t="shared" ref="D141:H141" si="318">D136+SUM(D139:D140)</f>
        <v>-1341.55</v>
      </c>
      <c r="E141" s="17">
        <f t="shared" si="318"/>
        <v>-1186.2993333333332</v>
      </c>
      <c r="F141" s="17">
        <f t="shared" si="318"/>
        <v>-2048.4759999999997</v>
      </c>
      <c r="G141" s="17">
        <f t="shared" si="318"/>
        <v>-1449.35</v>
      </c>
      <c r="H141" s="17">
        <f t="shared" si="318"/>
        <v>-794.18000000000052</v>
      </c>
      <c r="R141" s="17"/>
      <c r="S141" s="17"/>
      <c r="T141" s="17"/>
      <c r="U141" s="17">
        <f t="shared" ref="U141" si="319">U136+SUM(U139:U140)</f>
        <v>-428.48033333333336</v>
      </c>
      <c r="V141" s="17">
        <f t="shared" ref="V141" si="320">V136+SUM(V139:V140)</f>
        <v>-565.5791999999999</v>
      </c>
      <c r="W141" s="17">
        <f t="shared" ref="W141" si="321">W136+SUM(W139:W140)</f>
        <v>-629.99480000000017</v>
      </c>
      <c r="X141" s="17">
        <f t="shared" ref="X141" si="322">X136+SUM(X139:X140)</f>
        <v>-358.74199999999996</v>
      </c>
      <c r="Y141" s="17">
        <f t="shared" ref="Y141" si="323">Y136+SUM(Y139:Y140)</f>
        <v>-494.25999999999965</v>
      </c>
      <c r="Z141" s="17">
        <f t="shared" ref="Z141" si="324">Z136+SUM(Z139:Z140)</f>
        <v>-480.69840000000016</v>
      </c>
      <c r="AA141" s="17">
        <f t="shared" ref="AA141" si="325">AA136+SUM(AA139:AA140)</f>
        <v>-438.03300000000007</v>
      </c>
      <c r="AB141" s="17">
        <f t="shared" ref="AB141" si="326">AB136+SUM(AB139:AB140)</f>
        <v>-367.88389999999998</v>
      </c>
      <c r="AC141" s="17">
        <f t="shared" ref="AC141" si="327">AC136+SUM(AC139:AC140)</f>
        <v>-162.78469999999959</v>
      </c>
      <c r="AD141" s="17">
        <f t="shared" ref="AD141" si="328">AD136+SUM(AD139:AD140)</f>
        <v>-231.68839999999989</v>
      </c>
      <c r="AE141" s="17">
        <f t="shared" ref="AE141" si="329">AE136+SUM(AE139:AE140)</f>
        <v>-158.21759999999981</v>
      </c>
      <c r="AF141" s="17">
        <f t="shared" ref="AF141" si="330">AF136+SUM(AF139:AF140)</f>
        <v>-150.02889999999991</v>
      </c>
      <c r="AG141" s="17">
        <f t="shared" ref="AG141" si="331">AG136+SUM(AG139:AG140)</f>
        <v>-254.34510000000034</v>
      </c>
      <c r="AH141" s="17">
        <f t="shared" ref="AH141" si="332">AH136+SUM(AH139:AH140)</f>
        <v>-229.56415593673415</v>
      </c>
      <c r="AI141" s="17">
        <f t="shared" ref="AI141" si="333">AI136+SUM(AI139:AI140)</f>
        <v>-200.62999999999991</v>
      </c>
      <c r="AJ141" s="17">
        <f t="shared" ref="AJ141" si="334">AJ136+SUM(AJ139:AJ140)</f>
        <v>-237.64699934591192</v>
      </c>
    </row>
    <row r="142" spans="1:39" x14ac:dyDescent="0.25">
      <c r="A142" s="71" t="s">
        <v>321</v>
      </c>
      <c r="C142" s="56">
        <f t="shared" ref="C142:H142" si="335">C141/C126</f>
        <v>-1.8679220262564644</v>
      </c>
      <c r="D142" s="56">
        <f t="shared" si="335"/>
        <v>-1.2163840783389246</v>
      </c>
      <c r="E142" s="56">
        <f t="shared" si="335"/>
        <v>-0.51457418813799471</v>
      </c>
      <c r="F142" s="56">
        <f t="shared" si="335"/>
        <v>-0.5063591645037695</v>
      </c>
      <c r="G142" s="56">
        <f t="shared" si="335"/>
        <v>-0.23601205015469792</v>
      </c>
      <c r="H142" s="56">
        <f t="shared" si="335"/>
        <v>-0.12233775436326394</v>
      </c>
      <c r="R142" s="56"/>
      <c r="S142" s="56"/>
      <c r="T142" s="56"/>
      <c r="U142" s="56">
        <f t="shared" ref="U142:AJ142" si="336">U141/U126</f>
        <v>-0.58752273869920935</v>
      </c>
      <c r="V142" s="56">
        <f t="shared" si="336"/>
        <v>-0.72677872012336142</v>
      </c>
      <c r="W142" s="56">
        <f t="shared" si="336"/>
        <v>-0.71509057888762784</v>
      </c>
      <c r="X142" s="56">
        <f t="shared" si="336"/>
        <v>-0.33452256620663923</v>
      </c>
      <c r="Y142" s="56">
        <f t="shared" si="336"/>
        <v>-0.37626370280146137</v>
      </c>
      <c r="Z142" s="56">
        <f t="shared" si="336"/>
        <v>-0.34281728712023973</v>
      </c>
      <c r="AA142" s="56">
        <f t="shared" si="336"/>
        <v>-0.29891701924389247</v>
      </c>
      <c r="AB142" s="56">
        <f t="shared" si="336"/>
        <v>-0.2382359150369123</v>
      </c>
      <c r="AC142" s="55">
        <f t="shared" si="336"/>
        <v>-9.4149624060150136E-2</v>
      </c>
      <c r="AD142" s="55">
        <f t="shared" si="336"/>
        <v>-0.12968118213366164</v>
      </c>
      <c r="AE142" s="55">
        <f t="shared" si="336"/>
        <v>-9.7882702301410426E-2</v>
      </c>
      <c r="AF142" s="55">
        <f t="shared" si="336"/>
        <v>-9.7408713154135768E-2</v>
      </c>
      <c r="AG142" s="55">
        <f t="shared" si="336"/>
        <v>-0.16425256700032312</v>
      </c>
      <c r="AH142" s="55">
        <f t="shared" si="336"/>
        <v>-0.17955741567206426</v>
      </c>
      <c r="AI142" s="55">
        <f t="shared" si="336"/>
        <v>-0.21988102335694737</v>
      </c>
      <c r="AJ142" s="55">
        <f t="shared" si="336"/>
        <v>-0.25547946607816802</v>
      </c>
    </row>
    <row r="143" spans="1:39" x14ac:dyDescent="0.25">
      <c r="A143" s="71"/>
      <c r="C143" s="56"/>
      <c r="D143" s="56"/>
      <c r="E143" s="56"/>
      <c r="F143" s="56"/>
      <c r="G143" s="56"/>
      <c r="H143" s="56"/>
      <c r="R143" s="56"/>
      <c r="S143" s="56"/>
      <c r="T143" s="56"/>
      <c r="U143" s="56"/>
      <c r="V143" s="56"/>
      <c r="W143" s="56"/>
      <c r="X143" s="56"/>
      <c r="Y143" s="56"/>
      <c r="Z143" s="56"/>
      <c r="AA143" s="56"/>
      <c r="AB143" s="56"/>
      <c r="AC143" s="56"/>
      <c r="AD143" s="56"/>
      <c r="AE143" s="56"/>
      <c r="AF143" s="56"/>
      <c r="AG143" s="55"/>
      <c r="AH143" s="56"/>
      <c r="AI143" s="56"/>
      <c r="AJ143" s="56"/>
    </row>
    <row r="144" spans="1:39" x14ac:dyDescent="0.25">
      <c r="A144" s="71"/>
      <c r="B144" s="1"/>
      <c r="C144" s="1"/>
      <c r="D144" s="1"/>
      <c r="E144" s="1"/>
      <c r="F144" s="1"/>
      <c r="G144" s="1"/>
      <c r="H144" s="1"/>
      <c r="I144" s="1"/>
      <c r="J144" s="1"/>
      <c r="K144" s="1"/>
      <c r="L144" s="1"/>
      <c r="M144" s="1"/>
      <c r="N144" s="1"/>
      <c r="O144" s="1"/>
      <c r="P144" s="1"/>
      <c r="Q144" s="2"/>
      <c r="R144" s="1"/>
      <c r="S144" s="1"/>
      <c r="T144" s="1"/>
      <c r="U144" s="1"/>
      <c r="V144" s="1"/>
      <c r="W144" s="1"/>
      <c r="X144" s="1"/>
      <c r="Y144" s="1"/>
      <c r="Z144" s="1"/>
      <c r="AA144" s="1"/>
      <c r="AB144" s="1"/>
      <c r="AC144" s="2"/>
      <c r="AD144" s="1"/>
      <c r="AE144" s="1"/>
      <c r="AF144" s="1"/>
      <c r="AG144" s="2"/>
      <c r="AH144" s="1"/>
      <c r="AI144" s="1"/>
      <c r="AJ144" s="1"/>
    </row>
    <row r="145" spans="1:37" s="61" customFormat="1" x14ac:dyDescent="0.25">
      <c r="A145" s="143" t="s">
        <v>71</v>
      </c>
      <c r="B145" s="144"/>
      <c r="C145" s="144">
        <f t="shared" ref="C145:H145" si="337">C8</f>
        <v>1167.8000000000002</v>
      </c>
      <c r="D145" s="144">
        <f t="shared" si="337"/>
        <v>1996.7</v>
      </c>
      <c r="E145" s="144">
        <f t="shared" si="337"/>
        <v>3434.5</v>
      </c>
      <c r="F145" s="144">
        <f t="shared" si="337"/>
        <v>2820.7</v>
      </c>
      <c r="G145" s="144">
        <f t="shared" si="337"/>
        <v>3157.5</v>
      </c>
      <c r="H145" s="144">
        <f t="shared" si="337"/>
        <v>4014.4</v>
      </c>
      <c r="J145" s="145"/>
      <c r="K145" s="145"/>
      <c r="L145" s="145"/>
      <c r="M145" s="145"/>
      <c r="N145" s="145"/>
      <c r="O145" s="145"/>
      <c r="P145" s="145"/>
      <c r="Q145" s="145"/>
      <c r="R145" s="144">
        <f t="shared" ref="R145:AJ145" si="338">R8</f>
        <v>591.9</v>
      </c>
      <c r="S145" s="144">
        <f t="shared" si="338"/>
        <v>837.1</v>
      </c>
      <c r="T145" s="144">
        <f t="shared" si="338"/>
        <v>718.9</v>
      </c>
      <c r="U145" s="144">
        <f t="shared" si="338"/>
        <v>1286.5999999999999</v>
      </c>
      <c r="V145" s="144">
        <f t="shared" si="338"/>
        <v>894.4</v>
      </c>
      <c r="W145" s="144">
        <f t="shared" si="338"/>
        <v>593.5</v>
      </c>
      <c r="X145" s="144">
        <f t="shared" si="338"/>
        <v>614.20000000000005</v>
      </c>
      <c r="Y145" s="144">
        <f t="shared" si="338"/>
        <v>718.4</v>
      </c>
      <c r="Z145" s="144">
        <f t="shared" si="338"/>
        <v>623</v>
      </c>
      <c r="AA145" s="144">
        <f t="shared" si="338"/>
        <v>815.6</v>
      </c>
      <c r="AB145" s="144">
        <f t="shared" si="338"/>
        <v>835.8</v>
      </c>
      <c r="AC145" s="144">
        <f t="shared" si="338"/>
        <v>882.9</v>
      </c>
      <c r="AD145" s="144">
        <f t="shared" si="338"/>
        <v>748.8</v>
      </c>
      <c r="AE145" s="144">
        <f t="shared" si="338"/>
        <v>980.4</v>
      </c>
      <c r="AF145" s="144">
        <f t="shared" si="338"/>
        <v>1081.5</v>
      </c>
      <c r="AG145" s="144">
        <f t="shared" si="338"/>
        <v>1203.5999999999999</v>
      </c>
      <c r="AH145" s="144">
        <f t="shared" si="338"/>
        <v>1173.2</v>
      </c>
      <c r="AI145" s="144">
        <f t="shared" si="338"/>
        <v>1437.4590000000001</v>
      </c>
      <c r="AJ145" s="144">
        <f t="shared" si="338"/>
        <v>1499.2</v>
      </c>
      <c r="AK145" s="144"/>
    </row>
    <row r="146" spans="1:37" s="57" customFormat="1" x14ac:dyDescent="0.25">
      <c r="A146" s="65" t="s">
        <v>72</v>
      </c>
      <c r="B146" s="66"/>
      <c r="C146" s="67">
        <f t="shared" ref="C146:H146" si="339">SUM(C69:C70,C72)-C127</f>
        <v>-1362.7599999999998</v>
      </c>
      <c r="D146" s="67">
        <f t="shared" si="339"/>
        <v>-1997.9000000000003</v>
      </c>
      <c r="E146" s="67">
        <f t="shared" si="339"/>
        <v>-3331.3340000000003</v>
      </c>
      <c r="F146" s="67">
        <f t="shared" si="339"/>
        <v>-2800.7240000000002</v>
      </c>
      <c r="G146" s="67">
        <f t="shared" si="339"/>
        <v>-2866.6499999999996</v>
      </c>
      <c r="H146" s="67">
        <f t="shared" si="339"/>
        <v>-3477.0299999999997</v>
      </c>
      <c r="J146" s="59"/>
      <c r="K146" s="59"/>
      <c r="L146" s="59"/>
      <c r="M146" s="59"/>
      <c r="N146" s="59"/>
      <c r="O146" s="59"/>
      <c r="P146" s="59"/>
      <c r="Q146" s="59"/>
      <c r="R146" s="67"/>
      <c r="S146" s="67"/>
      <c r="T146" s="67"/>
      <c r="U146" s="67">
        <f t="shared" ref="U146:AJ146" si="340">SUM(U69:U70,U72)-U127</f>
        <v>-1243.079</v>
      </c>
      <c r="V146" s="67">
        <f t="shared" si="340"/>
        <v>-916.12400000000014</v>
      </c>
      <c r="W146" s="67">
        <f t="shared" si="340"/>
        <v>-517.89199999999983</v>
      </c>
      <c r="X146" s="67">
        <f t="shared" si="340"/>
        <v>-681.60799999999995</v>
      </c>
      <c r="Y146" s="67">
        <f t="shared" si="340"/>
        <v>-685</v>
      </c>
      <c r="Z146" s="67">
        <f t="shared" si="340"/>
        <v>-545.87199999999984</v>
      </c>
      <c r="AA146" s="67">
        <f t="shared" si="340"/>
        <v>-723.89400000000001</v>
      </c>
      <c r="AB146" s="67">
        <f t="shared" si="340"/>
        <v>-707.93899999999985</v>
      </c>
      <c r="AC146" s="67">
        <f t="shared" si="340"/>
        <v>-888.8449999999998</v>
      </c>
      <c r="AD146" s="67">
        <f t="shared" si="340"/>
        <v>-655.69200000000001</v>
      </c>
      <c r="AE146" s="67">
        <f t="shared" si="340"/>
        <v>-794.49400000000014</v>
      </c>
      <c r="AF146" s="67">
        <f t="shared" si="340"/>
        <v>-955.173</v>
      </c>
      <c r="AG146" s="67">
        <f t="shared" si="340"/>
        <v>-1071.5709999999997</v>
      </c>
      <c r="AH146" s="67">
        <f t="shared" si="340"/>
        <v>-1089.2197210960123</v>
      </c>
      <c r="AI146" s="67">
        <f t="shared" si="340"/>
        <v>-1343.0520000000001</v>
      </c>
      <c r="AJ146" s="67">
        <f t="shared" si="340"/>
        <v>-1216.6980249056601</v>
      </c>
    </row>
    <row r="147" spans="1:37" s="61" customFormat="1" x14ac:dyDescent="0.25">
      <c r="A147" s="5" t="s">
        <v>244</v>
      </c>
      <c r="B147" s="73"/>
      <c r="C147" s="60">
        <f t="shared" ref="C147:H147" si="341">+C146+C145</f>
        <v>-194.95999999999958</v>
      </c>
      <c r="D147" s="60">
        <f t="shared" si="341"/>
        <v>-1.2000000000002728</v>
      </c>
      <c r="E147" s="60">
        <f t="shared" si="341"/>
        <v>103.16599999999971</v>
      </c>
      <c r="F147" s="60">
        <f t="shared" si="341"/>
        <v>19.975999999999658</v>
      </c>
      <c r="G147" s="60">
        <f t="shared" si="341"/>
        <v>290.85000000000036</v>
      </c>
      <c r="H147" s="60">
        <f t="shared" si="341"/>
        <v>537.37000000000035</v>
      </c>
      <c r="J147" s="63"/>
      <c r="K147" s="63"/>
      <c r="L147" s="63"/>
      <c r="M147" s="63"/>
      <c r="N147" s="63"/>
      <c r="O147" s="63"/>
      <c r="P147" s="63"/>
      <c r="Q147" s="63"/>
      <c r="R147" s="60"/>
      <c r="S147" s="60"/>
      <c r="T147" s="60"/>
      <c r="U147" s="60">
        <f t="shared" ref="U147:AJ147" si="342">+U146+U145</f>
        <v>43.520999999999958</v>
      </c>
      <c r="V147" s="60">
        <f t="shared" si="342"/>
        <v>-21.72400000000016</v>
      </c>
      <c r="W147" s="60">
        <f t="shared" si="342"/>
        <v>75.608000000000175</v>
      </c>
      <c r="X147" s="60">
        <f t="shared" si="342"/>
        <v>-67.407999999999902</v>
      </c>
      <c r="Y147" s="60">
        <f t="shared" si="342"/>
        <v>33.399999999999977</v>
      </c>
      <c r="Z147" s="60">
        <f t="shared" si="342"/>
        <v>77.128000000000156</v>
      </c>
      <c r="AA147" s="60">
        <f t="shared" si="342"/>
        <v>91.706000000000017</v>
      </c>
      <c r="AB147" s="60">
        <f t="shared" si="342"/>
        <v>127.8610000000001</v>
      </c>
      <c r="AC147" s="60">
        <f t="shared" si="342"/>
        <v>-5.9449999999998226</v>
      </c>
      <c r="AD147" s="60">
        <f t="shared" si="342"/>
        <v>93.107999999999947</v>
      </c>
      <c r="AE147" s="60">
        <f t="shared" si="342"/>
        <v>185.90599999999984</v>
      </c>
      <c r="AF147" s="60">
        <f t="shared" si="342"/>
        <v>126.327</v>
      </c>
      <c r="AG147" s="64">
        <f t="shared" si="342"/>
        <v>132.02900000000022</v>
      </c>
      <c r="AH147" s="64">
        <f t="shared" si="342"/>
        <v>83.98027890398771</v>
      </c>
      <c r="AI147" s="60">
        <f t="shared" si="342"/>
        <v>94.406999999999925</v>
      </c>
      <c r="AJ147" s="60">
        <f t="shared" si="342"/>
        <v>282.50197509433997</v>
      </c>
      <c r="AK147" s="60"/>
    </row>
    <row r="148" spans="1:37" s="61" customFormat="1" x14ac:dyDescent="0.25">
      <c r="A148" s="71" t="s">
        <v>243</v>
      </c>
      <c r="B148" s="69"/>
      <c r="C148" s="56">
        <f t="shared" ref="C148:H148" si="343">C147/C145</f>
        <v>-0.16694639493063843</v>
      </c>
      <c r="D148" s="56">
        <f t="shared" si="343"/>
        <v>-6.0099163619986616E-4</v>
      </c>
      <c r="E148" s="56">
        <f t="shared" si="343"/>
        <v>3.0038142378803236E-2</v>
      </c>
      <c r="F148" s="56">
        <f t="shared" si="343"/>
        <v>7.0819300173714534E-3</v>
      </c>
      <c r="G148" s="56">
        <f t="shared" si="343"/>
        <v>9.211401425178159E-2</v>
      </c>
      <c r="H148" s="56">
        <f t="shared" si="343"/>
        <v>0.13386060183339984</v>
      </c>
      <c r="J148" s="63"/>
      <c r="K148" s="63"/>
      <c r="L148" s="63"/>
      <c r="M148" s="63"/>
      <c r="N148" s="63"/>
      <c r="O148" s="63"/>
      <c r="P148" s="63"/>
      <c r="Q148" s="63"/>
      <c r="R148" s="56"/>
      <c r="S148" s="56"/>
      <c r="T148" s="56"/>
      <c r="U148" s="56">
        <f t="shared" ref="U148:AJ148" si="344">U147/U145</f>
        <v>3.3826364060313974E-2</v>
      </c>
      <c r="V148" s="56">
        <f t="shared" si="344"/>
        <v>-2.4288908765653133E-2</v>
      </c>
      <c r="W148" s="56">
        <f t="shared" si="344"/>
        <v>0.12739342881213173</v>
      </c>
      <c r="X148" s="56">
        <f t="shared" si="344"/>
        <v>-0.10974926733962861</v>
      </c>
      <c r="Y148" s="56">
        <f t="shared" si="344"/>
        <v>4.6492204899777255E-2</v>
      </c>
      <c r="Z148" s="56">
        <f t="shared" si="344"/>
        <v>0.12380096308186221</v>
      </c>
      <c r="AA148" s="56">
        <f t="shared" si="344"/>
        <v>0.11243992153016186</v>
      </c>
      <c r="AB148" s="56">
        <f t="shared" si="344"/>
        <v>0.15298037808088072</v>
      </c>
      <c r="AC148" s="56">
        <f t="shared" si="344"/>
        <v>-6.7334919016874195E-3</v>
      </c>
      <c r="AD148" s="56">
        <f t="shared" si="344"/>
        <v>0.12434294871794865</v>
      </c>
      <c r="AE148" s="56">
        <f t="shared" si="344"/>
        <v>0.18962260301917569</v>
      </c>
      <c r="AF148" s="56">
        <f t="shared" si="344"/>
        <v>0.11680721220527046</v>
      </c>
      <c r="AG148" s="55">
        <f t="shared" si="344"/>
        <v>0.10969508142239966</v>
      </c>
      <c r="AH148" s="56">
        <f t="shared" si="344"/>
        <v>7.1582235683589929E-2</v>
      </c>
      <c r="AI148" s="56">
        <f t="shared" si="344"/>
        <v>6.5676307985132049E-2</v>
      </c>
      <c r="AJ148" s="56">
        <f t="shared" si="344"/>
        <v>0.18843514880892473</v>
      </c>
      <c r="AK148" s="56"/>
    </row>
    <row r="150" spans="1:37" x14ac:dyDescent="0.25">
      <c r="A150" s="33" t="s">
        <v>45</v>
      </c>
      <c r="C150" s="253">
        <f t="shared" ref="C150:H150" si="345">C75*10%</f>
        <v>-44.09</v>
      </c>
      <c r="D150" s="253">
        <f t="shared" si="345"/>
        <v>-41.75</v>
      </c>
      <c r="E150" s="253">
        <f t="shared" si="345"/>
        <v>-59.333333333333329</v>
      </c>
      <c r="F150" s="253">
        <f t="shared" si="345"/>
        <v>-117.15</v>
      </c>
      <c r="G150" s="253">
        <f t="shared" si="345"/>
        <v>-163.89999999999998</v>
      </c>
      <c r="H150" s="253">
        <f t="shared" si="345"/>
        <v>-147.39000000000001</v>
      </c>
      <c r="I150" s="317" t="s">
        <v>310</v>
      </c>
      <c r="R150" s="253"/>
      <c r="S150" s="253"/>
      <c r="T150" s="253"/>
      <c r="U150" s="253">
        <f t="shared" ref="U150:AJ150" si="346">U75*10%</f>
        <v>-19.782333333333334</v>
      </c>
      <c r="V150" s="253">
        <f t="shared" si="346"/>
        <v>-25.934299999999997</v>
      </c>
      <c r="W150" s="253">
        <f t="shared" si="346"/>
        <v>-34.950700000000026</v>
      </c>
      <c r="X150" s="253">
        <f t="shared" si="346"/>
        <v>-20.537499999999991</v>
      </c>
      <c r="Y150" s="253">
        <f t="shared" si="346"/>
        <v>-35.727499999999964</v>
      </c>
      <c r="Z150" s="253">
        <f t="shared" si="346"/>
        <v>-37.542100000000019</v>
      </c>
      <c r="AA150" s="253">
        <f t="shared" si="346"/>
        <v>-43.085500000000003</v>
      </c>
      <c r="AB150" s="253">
        <f t="shared" si="346"/>
        <v>-44.839599999999997</v>
      </c>
      <c r="AC150" s="253">
        <f t="shared" si="346"/>
        <v>-38.432799999999958</v>
      </c>
      <c r="AD150" s="253">
        <f t="shared" si="346"/>
        <v>-33.732099999999996</v>
      </c>
      <c r="AE150" s="253">
        <f t="shared" si="346"/>
        <v>-36.100899999999982</v>
      </c>
      <c r="AF150" s="253">
        <f t="shared" si="346"/>
        <v>-38.310599999999987</v>
      </c>
      <c r="AG150" s="253">
        <f t="shared" si="346"/>
        <v>-39.24640000000003</v>
      </c>
      <c r="AH150" s="253">
        <f t="shared" si="346"/>
        <v>-31.391122967253281</v>
      </c>
      <c r="AI150" s="253">
        <f t="shared" si="346"/>
        <v>-27.295000000000002</v>
      </c>
      <c r="AJ150" s="253">
        <f t="shared" si="346"/>
        <v>-27.379975748427679</v>
      </c>
    </row>
    <row r="151" spans="1:37" x14ac:dyDescent="0.25">
      <c r="A151" s="10" t="s">
        <v>46</v>
      </c>
      <c r="B151" s="70"/>
      <c r="C151" s="70">
        <f t="shared" ref="C151:H151" si="347">C80-C134</f>
        <v>-135.05000000000001</v>
      </c>
      <c r="D151" s="70">
        <f t="shared" si="347"/>
        <v>-166.9</v>
      </c>
      <c r="E151" s="70">
        <f t="shared" si="347"/>
        <v>-186.81666666666666</v>
      </c>
      <c r="F151" s="70">
        <f t="shared" si="347"/>
        <v>-286.95</v>
      </c>
      <c r="G151" s="70">
        <f t="shared" si="347"/>
        <v>-315.45</v>
      </c>
      <c r="H151" s="70">
        <f t="shared" si="347"/>
        <v>-208.15</v>
      </c>
      <c r="I151" s="249" t="s">
        <v>221</v>
      </c>
      <c r="R151" s="70"/>
      <c r="S151" s="70"/>
      <c r="T151" s="70"/>
      <c r="U151" s="70">
        <f t="shared" ref="U151:AJ151" si="348">U80-U134</f>
        <v>-48.616666666666674</v>
      </c>
      <c r="V151" s="70">
        <f t="shared" si="348"/>
        <v>-62.05</v>
      </c>
      <c r="W151" s="70">
        <f t="shared" si="348"/>
        <v>-66.150000000000006</v>
      </c>
      <c r="X151" s="70">
        <f t="shared" si="348"/>
        <v>-74</v>
      </c>
      <c r="Y151" s="70">
        <f t="shared" si="348"/>
        <v>-84.75</v>
      </c>
      <c r="Z151" s="70">
        <f t="shared" si="348"/>
        <v>-82.3</v>
      </c>
      <c r="AA151" s="70">
        <f t="shared" si="348"/>
        <v>-80</v>
      </c>
      <c r="AB151" s="70">
        <f t="shared" si="348"/>
        <v>-90.25</v>
      </c>
      <c r="AC151" s="70">
        <f t="shared" si="348"/>
        <v>-62.899999999999977</v>
      </c>
      <c r="AD151" s="70">
        <f t="shared" si="348"/>
        <v>-64.349999999999994</v>
      </c>
      <c r="AE151" s="70">
        <f t="shared" si="348"/>
        <v>-50.95</v>
      </c>
      <c r="AF151" s="70">
        <f t="shared" si="348"/>
        <v>-47</v>
      </c>
      <c r="AG151" s="70">
        <f t="shared" si="348"/>
        <v>-45.849999999999994</v>
      </c>
      <c r="AH151" s="70">
        <f t="shared" si="348"/>
        <v>-47.05</v>
      </c>
      <c r="AI151" s="70">
        <f t="shared" si="348"/>
        <v>-42.65</v>
      </c>
      <c r="AJ151" s="70">
        <f t="shared" si="348"/>
        <v>-45.15</v>
      </c>
    </row>
    <row r="152" spans="1:37" s="251" customFormat="1" x14ac:dyDescent="0.25">
      <c r="A152" s="13" t="s">
        <v>47</v>
      </c>
      <c r="B152" s="67"/>
      <c r="C152" s="67">
        <f t="shared" ref="C152:H152" si="349">C84-C135</f>
        <v>-70</v>
      </c>
      <c r="D152" s="67">
        <f t="shared" si="349"/>
        <v>-66.600000000000023</v>
      </c>
      <c r="E152" s="67">
        <f t="shared" si="349"/>
        <v>-147.81666666666666</v>
      </c>
      <c r="F152" s="67">
        <f t="shared" si="349"/>
        <v>-130.90000000000003</v>
      </c>
      <c r="G152" s="67">
        <f t="shared" si="349"/>
        <v>-133.55000000000001</v>
      </c>
      <c r="H152" s="67">
        <f t="shared" si="349"/>
        <v>-102.35</v>
      </c>
      <c r="I152" s="251" t="s">
        <v>221</v>
      </c>
      <c r="R152" s="67"/>
      <c r="S152" s="67"/>
      <c r="T152" s="67"/>
      <c r="U152" s="67">
        <f t="shared" ref="U152:AJ152" si="350">U84-U135</f>
        <v>-32.541666666666629</v>
      </c>
      <c r="V152" s="67">
        <f t="shared" si="350"/>
        <v>-33.912500000000009</v>
      </c>
      <c r="W152" s="67">
        <f t="shared" si="350"/>
        <v>-32.8125</v>
      </c>
      <c r="X152" s="67">
        <f t="shared" si="350"/>
        <v>-31.912499999999994</v>
      </c>
      <c r="Y152" s="67">
        <f t="shared" si="350"/>
        <v>-32.362500000000011</v>
      </c>
      <c r="Z152" s="67">
        <f t="shared" si="350"/>
        <v>-46.087500000000006</v>
      </c>
      <c r="AA152" s="67">
        <f t="shared" si="350"/>
        <v>-29.887500000000003</v>
      </c>
      <c r="AB152" s="67">
        <f t="shared" si="350"/>
        <v>-31.1875</v>
      </c>
      <c r="AC152" s="67">
        <f t="shared" si="350"/>
        <v>-26.4375</v>
      </c>
      <c r="AD152" s="67">
        <f t="shared" si="350"/>
        <v>-29.637500000000003</v>
      </c>
      <c r="AE152" s="67">
        <f t="shared" si="350"/>
        <v>-21.637499999999996</v>
      </c>
      <c r="AF152" s="67">
        <f t="shared" si="350"/>
        <v>-10.387499999999996</v>
      </c>
      <c r="AG152" s="67">
        <f t="shared" si="350"/>
        <v>-40.787500000000001</v>
      </c>
      <c r="AH152" s="67">
        <f t="shared" si="350"/>
        <v>-21.775000000000002</v>
      </c>
      <c r="AI152" s="67">
        <f t="shared" si="350"/>
        <v>-20.324999999999999</v>
      </c>
      <c r="AJ152" s="67">
        <f t="shared" si="350"/>
        <v>-21.225000000000001</v>
      </c>
    </row>
    <row r="153" spans="1:37" s="3" customFormat="1" x14ac:dyDescent="0.25">
      <c r="A153" s="3" t="s">
        <v>163</v>
      </c>
      <c r="C153" s="17">
        <f t="shared" ref="C153:H153" si="351">SUM(C147,C150:C152)</f>
        <v>-444.09999999999957</v>
      </c>
      <c r="D153" s="17">
        <f t="shared" si="351"/>
        <v>-276.45000000000027</v>
      </c>
      <c r="E153" s="17">
        <f t="shared" si="351"/>
        <v>-290.80066666666693</v>
      </c>
      <c r="F153" s="17">
        <f t="shared" si="351"/>
        <v>-515.02400000000034</v>
      </c>
      <c r="G153" s="17">
        <f t="shared" si="351"/>
        <v>-322.04999999999961</v>
      </c>
      <c r="H153" s="17">
        <f t="shared" si="351"/>
        <v>79.480000000000359</v>
      </c>
      <c r="R153" s="17"/>
      <c r="S153" s="17"/>
      <c r="T153" s="17"/>
      <c r="U153" s="17">
        <f t="shared" ref="U153" si="352">SUM(U147,U150:U152)</f>
        <v>-57.419666666666679</v>
      </c>
      <c r="V153" s="17">
        <f t="shared" ref="V153:AI153" si="353">SUM(V147,V150:V152)</f>
        <v>-143.62080000000014</v>
      </c>
      <c r="W153" s="17">
        <f t="shared" si="353"/>
        <v>-58.305199999999857</v>
      </c>
      <c r="X153" s="17">
        <f t="shared" si="353"/>
        <v>-193.85799999999989</v>
      </c>
      <c r="Y153" s="17">
        <f t="shared" si="353"/>
        <v>-119.44</v>
      </c>
      <c r="Z153" s="17">
        <f t="shared" si="353"/>
        <v>-88.801599999999866</v>
      </c>
      <c r="AA153" s="17">
        <f t="shared" si="353"/>
        <v>-61.266999999999989</v>
      </c>
      <c r="AB153" s="17">
        <f t="shared" si="353"/>
        <v>-38.416099999999886</v>
      </c>
      <c r="AC153" s="17">
        <f t="shared" si="353"/>
        <v>-133.71529999999976</v>
      </c>
      <c r="AD153" s="17">
        <f t="shared" si="353"/>
        <v>-34.611600000000045</v>
      </c>
      <c r="AE153" s="17">
        <f t="shared" si="353"/>
        <v>77.217599999999862</v>
      </c>
      <c r="AF153" s="17">
        <f t="shared" si="353"/>
        <v>30.628900000000009</v>
      </c>
      <c r="AG153" s="17">
        <f t="shared" si="353"/>
        <v>6.1451000000002054</v>
      </c>
      <c r="AH153" s="17">
        <f t="shared" si="353"/>
        <v>-16.235844063265571</v>
      </c>
      <c r="AI153" s="17">
        <f t="shared" si="353"/>
        <v>4.1369999999999258</v>
      </c>
      <c r="AJ153" s="17">
        <f>SUM(AJ147,AJ150:AJ152)</f>
        <v>188.74699934591229</v>
      </c>
      <c r="AK153" s="17"/>
    </row>
    <row r="154" spans="1:37" x14ac:dyDescent="0.25">
      <c r="A154" s="71" t="s">
        <v>324</v>
      </c>
      <c r="C154" s="56">
        <f t="shared" ref="C154:H154" si="354">C153/C145</f>
        <v>-0.38028772050008519</v>
      </c>
      <c r="D154" s="56">
        <f t="shared" si="354"/>
        <v>-0.13845344818951283</v>
      </c>
      <c r="E154" s="56">
        <f t="shared" si="354"/>
        <v>-8.467045178822738E-2</v>
      </c>
      <c r="F154" s="56">
        <f t="shared" si="354"/>
        <v>-0.18258730102456849</v>
      </c>
      <c r="G154" s="56">
        <f t="shared" si="354"/>
        <v>-0.10199524940617564</v>
      </c>
      <c r="H154" s="56">
        <f t="shared" si="354"/>
        <v>1.9798724591470796E-2</v>
      </c>
      <c r="R154" s="56"/>
      <c r="S154" s="56"/>
      <c r="T154" s="56"/>
      <c r="U154" s="56">
        <f t="shared" ref="U154:AJ154" si="355">U153/U145</f>
        <v>-4.4628996321052918E-2</v>
      </c>
      <c r="V154" s="56">
        <f t="shared" si="355"/>
        <v>-0.16057781753130607</v>
      </c>
      <c r="W154" s="56">
        <f t="shared" si="355"/>
        <v>-9.8239595619207851E-2</v>
      </c>
      <c r="X154" s="56">
        <f t="shared" si="355"/>
        <v>-0.31562683165092781</v>
      </c>
      <c r="Y154" s="56">
        <f t="shared" si="355"/>
        <v>-0.16625835189309576</v>
      </c>
      <c r="Z154" s="56">
        <f t="shared" si="355"/>
        <v>-0.14253868378812176</v>
      </c>
      <c r="AA154" s="56">
        <f t="shared" si="355"/>
        <v>-7.5118930848455112E-2</v>
      </c>
      <c r="AB154" s="56">
        <f t="shared" si="355"/>
        <v>-4.5963268724575124E-2</v>
      </c>
      <c r="AC154" s="56">
        <f t="shared" si="355"/>
        <v>-0.15145010759995442</v>
      </c>
      <c r="AD154" s="56">
        <f t="shared" si="355"/>
        <v>-4.6222756410256471E-2</v>
      </c>
      <c r="AE154" s="56">
        <f t="shared" si="355"/>
        <v>7.8761321909424586E-2</v>
      </c>
      <c r="AF154" s="56">
        <f t="shared" si="355"/>
        <v>2.8320758206195108E-2</v>
      </c>
      <c r="AG154" s="55">
        <f t="shared" si="355"/>
        <v>5.1055998670656412E-3</v>
      </c>
      <c r="AH154" s="56">
        <f t="shared" si="355"/>
        <v>-1.3838939706158857E-2</v>
      </c>
      <c r="AI154" s="56">
        <f t="shared" si="355"/>
        <v>2.8779951289044942E-3</v>
      </c>
      <c r="AJ154" s="56">
        <f t="shared" si="355"/>
        <v>0.12589847875260957</v>
      </c>
      <c r="AK154" s="56"/>
    </row>
    <row r="156" spans="1:37" s="251" customFormat="1" x14ac:dyDescent="0.25">
      <c r="A156" s="80" t="s">
        <v>70</v>
      </c>
      <c r="C156" s="258">
        <f t="shared" ref="C156:H156" si="356">-(C74+C82)-C140</f>
        <v>0</v>
      </c>
      <c r="D156" s="258">
        <f t="shared" si="356"/>
        <v>0</v>
      </c>
      <c r="E156" s="258">
        <f t="shared" si="356"/>
        <v>0</v>
      </c>
      <c r="F156" s="258">
        <f t="shared" si="356"/>
        <v>0</v>
      </c>
      <c r="G156" s="258">
        <f t="shared" si="356"/>
        <v>0</v>
      </c>
      <c r="H156" s="258">
        <f t="shared" si="356"/>
        <v>0</v>
      </c>
      <c r="U156" s="258">
        <f t="shared" ref="U156:AJ156" si="357">-(U74+U82)-U140</f>
        <v>0</v>
      </c>
      <c r="V156" s="258">
        <f t="shared" si="357"/>
        <v>0</v>
      </c>
      <c r="W156" s="258">
        <f t="shared" si="357"/>
        <v>0</v>
      </c>
      <c r="X156" s="258">
        <f t="shared" si="357"/>
        <v>0</v>
      </c>
      <c r="Y156" s="258">
        <f t="shared" si="357"/>
        <v>0</v>
      </c>
      <c r="Z156" s="258">
        <f t="shared" si="357"/>
        <v>0</v>
      </c>
      <c r="AA156" s="258">
        <f t="shared" si="357"/>
        <v>0</v>
      </c>
      <c r="AB156" s="258">
        <f t="shared" si="357"/>
        <v>0</v>
      </c>
      <c r="AC156" s="258">
        <f t="shared" si="357"/>
        <v>0</v>
      </c>
      <c r="AD156" s="258">
        <f t="shared" si="357"/>
        <v>0</v>
      </c>
      <c r="AE156" s="258">
        <f t="shared" si="357"/>
        <v>0</v>
      </c>
      <c r="AF156" s="258">
        <f t="shared" si="357"/>
        <v>0</v>
      </c>
      <c r="AG156" s="258">
        <f t="shared" si="357"/>
        <v>0</v>
      </c>
      <c r="AH156" s="258">
        <f t="shared" si="357"/>
        <v>0</v>
      </c>
      <c r="AI156" s="258">
        <f t="shared" si="357"/>
        <v>0</v>
      </c>
      <c r="AJ156" s="258">
        <f t="shared" si="357"/>
        <v>0</v>
      </c>
    </row>
    <row r="157" spans="1:37" s="3" customFormat="1" x14ac:dyDescent="0.25">
      <c r="A157" s="3" t="s">
        <v>176</v>
      </c>
      <c r="C157" s="17">
        <f>+C153+C156</f>
        <v>-444.09999999999957</v>
      </c>
      <c r="D157" s="17">
        <f t="shared" ref="D157:H157" si="358">+D153+D156</f>
        <v>-276.45000000000027</v>
      </c>
      <c r="E157" s="17">
        <f t="shared" si="358"/>
        <v>-290.80066666666693</v>
      </c>
      <c r="F157" s="17">
        <f t="shared" si="358"/>
        <v>-515.02400000000034</v>
      </c>
      <c r="G157" s="17">
        <f t="shared" si="358"/>
        <v>-322.04999999999961</v>
      </c>
      <c r="H157" s="17">
        <f t="shared" si="358"/>
        <v>79.480000000000359</v>
      </c>
      <c r="R157" s="17"/>
      <c r="S157" s="17"/>
      <c r="T157" s="17"/>
      <c r="U157" s="17">
        <f t="shared" ref="U157:V157" si="359">+U153+U156</f>
        <v>-57.419666666666679</v>
      </c>
      <c r="V157" s="17">
        <f t="shared" si="359"/>
        <v>-143.62080000000014</v>
      </c>
      <c r="W157" s="17">
        <f t="shared" ref="W157" si="360">+W153+W156</f>
        <v>-58.305199999999857</v>
      </c>
      <c r="X157" s="17">
        <f t="shared" ref="X157" si="361">+X153+X156</f>
        <v>-193.85799999999989</v>
      </c>
      <c r="Y157" s="17">
        <f t="shared" ref="Y157" si="362">+Y153+Y156</f>
        <v>-119.44</v>
      </c>
      <c r="Z157" s="17">
        <f t="shared" ref="Z157" si="363">+Z153+Z156</f>
        <v>-88.801599999999866</v>
      </c>
      <c r="AA157" s="17">
        <f t="shared" ref="AA157" si="364">+AA153+AA156</f>
        <v>-61.266999999999989</v>
      </c>
      <c r="AB157" s="17">
        <f t="shared" ref="AB157" si="365">+AB153+AB156</f>
        <v>-38.416099999999886</v>
      </c>
      <c r="AC157" s="17">
        <f t="shared" ref="AC157" si="366">+AC153+AC156</f>
        <v>-133.71529999999976</v>
      </c>
      <c r="AD157" s="17">
        <f t="shared" ref="AD157" si="367">+AD153+AD156</f>
        <v>-34.611600000000045</v>
      </c>
      <c r="AE157" s="17">
        <f t="shared" ref="AE157" si="368">+AE153+AE156</f>
        <v>77.217599999999862</v>
      </c>
      <c r="AF157" s="17">
        <f t="shared" ref="AF157" si="369">+AF153+AF156</f>
        <v>30.628900000000009</v>
      </c>
      <c r="AG157" s="17">
        <f t="shared" ref="AG157" si="370">+AG153+AG156</f>
        <v>6.1451000000002054</v>
      </c>
      <c r="AH157" s="17">
        <f t="shared" ref="AH157" si="371">+AH153+AH156</f>
        <v>-16.235844063265571</v>
      </c>
      <c r="AI157" s="17">
        <f t="shared" ref="AI157" si="372">+AI153+AI156</f>
        <v>4.1369999999999258</v>
      </c>
      <c r="AJ157" s="17">
        <f t="shared" ref="AJ157" si="373">+AJ153+AJ156</f>
        <v>188.74699934591229</v>
      </c>
      <c r="AK157" s="17"/>
    </row>
    <row r="158" spans="1:37" x14ac:dyDescent="0.25">
      <c r="A158" s="71" t="s">
        <v>325</v>
      </c>
      <c r="C158" s="56">
        <f t="shared" ref="C158:H158" si="374">C157/C145</f>
        <v>-0.38028772050008519</v>
      </c>
      <c r="D158" s="56">
        <f t="shared" si="374"/>
        <v>-0.13845344818951283</v>
      </c>
      <c r="E158" s="56">
        <f t="shared" si="374"/>
        <v>-8.467045178822738E-2</v>
      </c>
      <c r="F158" s="56">
        <f t="shared" si="374"/>
        <v>-0.18258730102456849</v>
      </c>
      <c r="G158" s="56">
        <f t="shared" si="374"/>
        <v>-0.10199524940617564</v>
      </c>
      <c r="H158" s="56">
        <f t="shared" si="374"/>
        <v>1.9798724591470796E-2</v>
      </c>
      <c r="R158" s="56"/>
      <c r="S158" s="56"/>
      <c r="T158" s="56"/>
      <c r="U158" s="56">
        <f t="shared" ref="U158:AJ158" si="375">U157/U145</f>
        <v>-4.4628996321052918E-2</v>
      </c>
      <c r="V158" s="56">
        <f t="shared" si="375"/>
        <v>-0.16057781753130607</v>
      </c>
      <c r="W158" s="56">
        <f t="shared" si="375"/>
        <v>-9.8239595619207851E-2</v>
      </c>
      <c r="X158" s="56">
        <f t="shared" si="375"/>
        <v>-0.31562683165092781</v>
      </c>
      <c r="Y158" s="56">
        <f t="shared" si="375"/>
        <v>-0.16625835189309576</v>
      </c>
      <c r="Z158" s="56">
        <f t="shared" si="375"/>
        <v>-0.14253868378812176</v>
      </c>
      <c r="AA158" s="56">
        <f t="shared" si="375"/>
        <v>-7.5118930848455112E-2</v>
      </c>
      <c r="AB158" s="56">
        <f t="shared" si="375"/>
        <v>-4.5963268724575124E-2</v>
      </c>
      <c r="AC158" s="56">
        <f t="shared" si="375"/>
        <v>-0.15145010759995442</v>
      </c>
      <c r="AD158" s="56">
        <f t="shared" si="375"/>
        <v>-4.6222756410256471E-2</v>
      </c>
      <c r="AE158" s="56">
        <f t="shared" si="375"/>
        <v>7.8761321909424586E-2</v>
      </c>
      <c r="AF158" s="56">
        <f t="shared" si="375"/>
        <v>2.8320758206195108E-2</v>
      </c>
      <c r="AG158" s="55">
        <f t="shared" si="375"/>
        <v>5.1055998670656412E-3</v>
      </c>
      <c r="AH158" s="56">
        <f t="shared" si="375"/>
        <v>-1.3838939706158857E-2</v>
      </c>
      <c r="AI158" s="56">
        <f t="shared" si="375"/>
        <v>2.8779951289044942E-3</v>
      </c>
      <c r="AJ158" s="56">
        <f t="shared" si="375"/>
        <v>0.12589847875260957</v>
      </c>
      <c r="AK158" s="56"/>
    </row>
    <row r="159" spans="1:37" x14ac:dyDescent="0.25">
      <c r="A159" s="82"/>
      <c r="B159" s="32"/>
      <c r="C159" s="32"/>
      <c r="D159" s="32"/>
      <c r="E159" s="32"/>
      <c r="F159" s="32"/>
      <c r="G159" s="32"/>
      <c r="H159" s="32"/>
      <c r="I159" s="52"/>
      <c r="J159" s="53"/>
      <c r="K159" s="53"/>
      <c r="L159" s="53"/>
      <c r="M159" s="53"/>
      <c r="N159" s="54"/>
      <c r="O159" s="54"/>
      <c r="P159" s="25"/>
      <c r="Q159" s="55"/>
      <c r="R159" s="55"/>
      <c r="S159" s="55"/>
      <c r="T159" s="55"/>
      <c r="U159" s="55"/>
      <c r="V159" s="55"/>
      <c r="W159" s="55"/>
      <c r="X159" s="55"/>
      <c r="Y159" s="55"/>
      <c r="Z159" s="55"/>
      <c r="AA159" s="55"/>
      <c r="AB159" s="55"/>
      <c r="AC159" s="55"/>
      <c r="AD159" s="55"/>
      <c r="AE159" s="55"/>
      <c r="AF159" s="56"/>
      <c r="AG159" s="55"/>
      <c r="AH159" s="55"/>
      <c r="AI159" s="55"/>
      <c r="AJ159" s="55"/>
    </row>
    <row r="160" spans="1:37" x14ac:dyDescent="0.25">
      <c r="A160" s="82"/>
      <c r="B160" s="32"/>
      <c r="C160" s="32"/>
      <c r="D160" s="32"/>
      <c r="E160" s="32"/>
      <c r="F160" s="32"/>
      <c r="G160" s="32"/>
      <c r="H160" s="32"/>
      <c r="I160" s="52"/>
      <c r="J160" s="53"/>
      <c r="K160" s="53"/>
      <c r="L160" s="53"/>
      <c r="M160" s="53"/>
      <c r="N160" s="54"/>
      <c r="O160" s="54"/>
      <c r="P160" s="25"/>
      <c r="Q160" s="55"/>
      <c r="R160" s="55"/>
      <c r="S160" s="55"/>
      <c r="T160" s="55"/>
      <c r="U160" s="55"/>
      <c r="V160" s="55"/>
      <c r="W160" s="55"/>
      <c r="X160" s="55"/>
      <c r="Y160" s="55"/>
      <c r="Z160" s="55"/>
      <c r="AA160" s="55"/>
      <c r="AB160" s="55"/>
      <c r="AC160" s="55"/>
      <c r="AD160" s="55"/>
      <c r="AE160" s="55"/>
      <c r="AF160" s="56"/>
      <c r="AG160" s="55"/>
      <c r="AH160" s="55"/>
      <c r="AI160" s="55"/>
      <c r="AJ160" s="55"/>
    </row>
    <row r="161" spans="1:39" x14ac:dyDescent="0.25">
      <c r="A161" s="82"/>
      <c r="B161" s="32"/>
      <c r="C161" s="32"/>
      <c r="D161" s="32"/>
      <c r="E161" s="32"/>
      <c r="F161" s="32"/>
      <c r="G161" s="32"/>
      <c r="H161" s="32"/>
      <c r="I161" s="52"/>
      <c r="J161" s="53"/>
      <c r="K161" s="53"/>
      <c r="L161" s="53"/>
      <c r="M161" s="53"/>
      <c r="N161" s="54"/>
      <c r="O161" s="54"/>
      <c r="P161" s="25"/>
      <c r="Q161" s="55"/>
      <c r="R161" s="55"/>
      <c r="S161" s="55"/>
      <c r="T161" s="55"/>
      <c r="U161" s="55"/>
      <c r="V161" s="55"/>
      <c r="W161" s="55"/>
      <c r="X161" s="55"/>
      <c r="Y161" s="55"/>
      <c r="Z161" s="55"/>
      <c r="AA161" s="55"/>
      <c r="AB161" s="55"/>
      <c r="AC161" s="55"/>
      <c r="AD161" s="55"/>
      <c r="AE161" s="55"/>
      <c r="AF161" s="56"/>
      <c r="AG161" s="55"/>
      <c r="AH161" s="55"/>
      <c r="AI161" s="55"/>
      <c r="AJ161" s="55"/>
    </row>
    <row r="162" spans="1:39" x14ac:dyDescent="0.25">
      <c r="A162" s="6" t="s">
        <v>125</v>
      </c>
      <c r="B162" s="1">
        <v>2017</v>
      </c>
      <c r="C162" s="1">
        <v>2018</v>
      </c>
      <c r="D162" s="1">
        <v>2019</v>
      </c>
      <c r="E162" s="1">
        <v>2020</v>
      </c>
      <c r="F162" s="1">
        <v>2021</v>
      </c>
      <c r="G162" s="1">
        <v>2022</v>
      </c>
      <c r="H162" s="1">
        <v>2023</v>
      </c>
      <c r="I162" s="1"/>
      <c r="J162" s="1" t="s">
        <v>1</v>
      </c>
      <c r="K162" s="1" t="s">
        <v>2</v>
      </c>
      <c r="L162" s="1" t="s">
        <v>3</v>
      </c>
      <c r="M162" s="1" t="s">
        <v>4</v>
      </c>
      <c r="N162" s="1" t="s">
        <v>5</v>
      </c>
      <c r="O162" s="1" t="s">
        <v>6</v>
      </c>
      <c r="P162" s="1" t="s">
        <v>7</v>
      </c>
      <c r="Q162" s="2" t="s">
        <v>8</v>
      </c>
      <c r="R162" s="1" t="s">
        <v>9</v>
      </c>
      <c r="S162" s="1" t="s">
        <v>10</v>
      </c>
      <c r="T162" s="1" t="s">
        <v>11</v>
      </c>
      <c r="U162" s="1" t="s">
        <v>12</v>
      </c>
      <c r="V162" s="1" t="s">
        <v>13</v>
      </c>
      <c r="W162" s="1" t="s">
        <v>14</v>
      </c>
      <c r="X162" s="1" t="s">
        <v>15</v>
      </c>
      <c r="Y162" s="1" t="s">
        <v>16</v>
      </c>
      <c r="Z162" s="1" t="s">
        <v>17</v>
      </c>
      <c r="AA162" s="1" t="s">
        <v>18</v>
      </c>
      <c r="AB162" s="1" t="s">
        <v>19</v>
      </c>
      <c r="AC162" s="2" t="s">
        <v>20</v>
      </c>
      <c r="AD162" s="1" t="s">
        <v>21</v>
      </c>
      <c r="AE162" s="1" t="s">
        <v>22</v>
      </c>
      <c r="AF162" s="1" t="s">
        <v>23</v>
      </c>
      <c r="AG162" s="2" t="s">
        <v>24</v>
      </c>
      <c r="AH162" s="1" t="s">
        <v>25</v>
      </c>
      <c r="AI162" s="1" t="s">
        <v>26</v>
      </c>
      <c r="AJ162" s="1" t="s">
        <v>27</v>
      </c>
    </row>
    <row r="163" spans="1:39" outlineLevel="1" x14ac:dyDescent="0.25">
      <c r="A163" s="4" t="s">
        <v>266</v>
      </c>
      <c r="B163" s="250">
        <v>331824.40000000002</v>
      </c>
      <c r="C163" s="250">
        <v>416108.7</v>
      </c>
      <c r="D163" s="250">
        <v>510734</v>
      </c>
      <c r="E163" s="250">
        <v>651879</v>
      </c>
      <c r="F163" s="250">
        <v>815654.8</v>
      </c>
      <c r="G163" s="250">
        <v>865062</v>
      </c>
      <c r="H163" s="250">
        <v>871224</v>
      </c>
      <c r="I163" s="4"/>
      <c r="J163" s="250">
        <v>91498</v>
      </c>
      <c r="K163" s="250">
        <v>110489</v>
      </c>
      <c r="L163" s="250">
        <v>93890</v>
      </c>
      <c r="M163" s="250">
        <v>120232</v>
      </c>
      <c r="N163" s="250">
        <v>108651</v>
      </c>
      <c r="O163" s="250">
        <v>133516</v>
      </c>
      <c r="P163" s="250">
        <v>118854</v>
      </c>
      <c r="Q163" s="250">
        <v>149712</v>
      </c>
      <c r="R163" s="250">
        <v>130093</v>
      </c>
      <c r="S163" s="250">
        <v>178187</v>
      </c>
      <c r="T163" s="250">
        <v>151399</v>
      </c>
      <c r="U163" s="250">
        <v>192200</v>
      </c>
      <c r="V163" s="250">
        <v>175281.8</v>
      </c>
      <c r="W163" s="250">
        <v>219689.8</v>
      </c>
      <c r="X163" s="250">
        <v>186008.3</v>
      </c>
      <c r="Y163" s="250">
        <v>234674.8</v>
      </c>
      <c r="Z163" s="250">
        <v>204416</v>
      </c>
      <c r="AA163" s="250">
        <v>226020</v>
      </c>
      <c r="AB163" s="250">
        <v>197027</v>
      </c>
      <c r="AC163" s="250">
        <v>237599</v>
      </c>
      <c r="AD163" s="250">
        <v>195564</v>
      </c>
      <c r="AE163" s="250">
        <v>233855</v>
      </c>
      <c r="AF163" s="250">
        <v>195304</v>
      </c>
      <c r="AG163" s="250">
        <v>246501</v>
      </c>
      <c r="AH163" s="250">
        <v>208508</v>
      </c>
      <c r="AI163" s="250">
        <v>233908</v>
      </c>
      <c r="AJ163" s="250">
        <v>204613</v>
      </c>
      <c r="AL163" s="272"/>
    </row>
    <row r="164" spans="1:39" s="149" customFormat="1" outlineLevel="1" x14ac:dyDescent="0.25">
      <c r="A164" s="147"/>
      <c r="B164" s="259"/>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8"/>
      <c r="AE164" s="148"/>
      <c r="AF164" s="148"/>
      <c r="AG164" s="148"/>
      <c r="AH164" s="148"/>
      <c r="AI164" s="148"/>
      <c r="AJ164" s="148"/>
    </row>
    <row r="165" spans="1:39" outlineLevel="1" x14ac:dyDescent="0.25">
      <c r="A165" s="4" t="s">
        <v>267</v>
      </c>
      <c r="B165" s="250">
        <v>25391</v>
      </c>
      <c r="C165" s="250">
        <v>33532</v>
      </c>
      <c r="D165" s="250">
        <v>42680</v>
      </c>
      <c r="E165" s="250">
        <v>53473</v>
      </c>
      <c r="F165" s="250">
        <v>72118</v>
      </c>
      <c r="G165" s="250">
        <v>81970</v>
      </c>
      <c r="H165" s="250">
        <v>84726</v>
      </c>
      <c r="I165" s="4"/>
      <c r="J165" s="250">
        <v>6391</v>
      </c>
      <c r="K165" s="250">
        <v>8931</v>
      </c>
      <c r="L165" s="250">
        <v>7752</v>
      </c>
      <c r="M165" s="250">
        <v>11810.399999999998</v>
      </c>
      <c r="N165" s="250">
        <v>8144</v>
      </c>
      <c r="O165" s="250">
        <v>11077</v>
      </c>
      <c r="P165" s="250">
        <v>9987</v>
      </c>
      <c r="Q165" s="250">
        <v>13472.9</v>
      </c>
      <c r="R165" s="250">
        <v>9527</v>
      </c>
      <c r="S165" s="250">
        <v>14052.7</v>
      </c>
      <c r="T165" s="250">
        <v>12412.2</v>
      </c>
      <c r="U165" s="250">
        <v>17481</v>
      </c>
      <c r="V165" s="250">
        <v>14119.8</v>
      </c>
      <c r="W165" s="250">
        <v>18984.8</v>
      </c>
      <c r="X165" s="250">
        <v>16774.7</v>
      </c>
      <c r="Y165" s="250">
        <v>22238.800000000003</v>
      </c>
      <c r="Z165" s="250">
        <v>17676</v>
      </c>
      <c r="AA165" s="250">
        <v>20742</v>
      </c>
      <c r="AB165" s="250">
        <v>18954</v>
      </c>
      <c r="AC165" s="250">
        <v>24598</v>
      </c>
      <c r="AD165" s="250">
        <v>19062</v>
      </c>
      <c r="AE165" s="250">
        <v>22509</v>
      </c>
      <c r="AF165" s="250">
        <v>19529</v>
      </c>
      <c r="AG165" s="250">
        <v>23626</v>
      </c>
      <c r="AH165" s="250">
        <v>19289.000000000004</v>
      </c>
      <c r="AI165" s="250">
        <v>23425</v>
      </c>
      <c r="AJ165" s="250">
        <v>20763</v>
      </c>
    </row>
    <row r="166" spans="1:39" s="275" customFormat="1" outlineLevel="1" x14ac:dyDescent="0.25">
      <c r="A166" s="110" t="s">
        <v>264</v>
      </c>
      <c r="B166" s="273">
        <v>6.5000000000000002E-2</v>
      </c>
      <c r="C166" s="273">
        <v>6.5000000000000002E-2</v>
      </c>
      <c r="D166" s="273">
        <v>6.5000000000000002E-2</v>
      </c>
      <c r="E166" s="273">
        <v>6.5000000000000002E-2</v>
      </c>
      <c r="F166" s="273">
        <v>6.5000000000000002E-2</v>
      </c>
      <c r="G166" s="273">
        <v>6.5000000000000002E-2</v>
      </c>
      <c r="H166" s="273">
        <v>6.5000000000000002E-2</v>
      </c>
      <c r="I166" s="274"/>
      <c r="J166" s="273">
        <v>6.5000000000000002E-2</v>
      </c>
      <c r="K166" s="273">
        <v>6.5000000000000002E-2</v>
      </c>
      <c r="L166" s="273">
        <v>6.5000000000000002E-2</v>
      </c>
      <c r="M166" s="273">
        <v>6.5000000000000002E-2</v>
      </c>
      <c r="N166" s="273">
        <v>6.5000000000000002E-2</v>
      </c>
      <c r="O166" s="273">
        <v>6.5000000000000002E-2</v>
      </c>
      <c r="P166" s="273">
        <v>6.5000000000000002E-2</v>
      </c>
      <c r="Q166" s="273">
        <v>6.5000000000000002E-2</v>
      </c>
      <c r="R166" s="273">
        <v>6.5000000000000002E-2</v>
      </c>
      <c r="S166" s="273">
        <v>6.5000000000000002E-2</v>
      </c>
      <c r="T166" s="273">
        <v>6.5000000000000002E-2</v>
      </c>
      <c r="U166" s="273">
        <v>6.5000000000000002E-2</v>
      </c>
      <c r="V166" s="273">
        <v>6.5000000000000002E-2</v>
      </c>
      <c r="W166" s="273">
        <v>6.5000000000000002E-2</v>
      </c>
      <c r="X166" s="273">
        <v>6.5000000000000002E-2</v>
      </c>
      <c r="Y166" s="273">
        <v>6.5000000000000002E-2</v>
      </c>
      <c r="Z166" s="273">
        <v>6.5000000000000002E-2</v>
      </c>
      <c r="AA166" s="273">
        <v>6.5000000000000002E-2</v>
      </c>
      <c r="AB166" s="273">
        <v>6.5000000000000002E-2</v>
      </c>
      <c r="AC166" s="273">
        <v>6.5000000000000002E-2</v>
      </c>
      <c r="AD166" s="273">
        <v>6.5000000000000002E-2</v>
      </c>
      <c r="AE166" s="273">
        <v>6.5000000000000002E-2</v>
      </c>
      <c r="AF166" s="273">
        <v>6.5000000000000002E-2</v>
      </c>
      <c r="AG166" s="273">
        <v>6.5000000000000002E-2</v>
      </c>
      <c r="AH166" s="273">
        <v>6.5000000000000002E-2</v>
      </c>
      <c r="AI166" s="273">
        <v>6.5000000000000002E-2</v>
      </c>
      <c r="AJ166" s="273">
        <v>6.5000000000000002E-2</v>
      </c>
    </row>
    <row r="167" spans="1:39" outlineLevel="1" x14ac:dyDescent="0.25">
      <c r="A167" s="96" t="s">
        <v>268</v>
      </c>
      <c r="B167" s="269">
        <f t="shared" ref="B167:H167" si="376">B165/B166</f>
        <v>390630.76923076919</v>
      </c>
      <c r="C167" s="269">
        <f t="shared" si="376"/>
        <v>515876.92307692306</v>
      </c>
      <c r="D167" s="269">
        <f t="shared" si="376"/>
        <v>656615.38461538462</v>
      </c>
      <c r="E167" s="269">
        <f t="shared" si="376"/>
        <v>822661.53846153838</v>
      </c>
      <c r="F167" s="269">
        <f t="shared" si="376"/>
        <v>1109507.6923076923</v>
      </c>
      <c r="G167" s="269">
        <f t="shared" si="376"/>
        <v>1261076.923076923</v>
      </c>
      <c r="H167" s="269">
        <f t="shared" si="376"/>
        <v>1303476.923076923</v>
      </c>
      <c r="I167" s="96"/>
      <c r="J167" s="269">
        <f t="shared" ref="J167:AJ167" si="377">J165/J166</f>
        <v>98323.076923076922</v>
      </c>
      <c r="K167" s="269">
        <f t="shared" si="377"/>
        <v>137400</v>
      </c>
      <c r="L167" s="269">
        <f t="shared" si="377"/>
        <v>119261.53846153845</v>
      </c>
      <c r="M167" s="269">
        <f t="shared" si="377"/>
        <v>181698.4615384615</v>
      </c>
      <c r="N167" s="269">
        <f t="shared" si="377"/>
        <v>125292.30769230769</v>
      </c>
      <c r="O167" s="269">
        <f t="shared" si="377"/>
        <v>170415.3846153846</v>
      </c>
      <c r="P167" s="269">
        <f t="shared" si="377"/>
        <v>153646.15384615384</v>
      </c>
      <c r="Q167" s="269">
        <f t="shared" si="377"/>
        <v>207275.3846153846</v>
      </c>
      <c r="R167" s="269">
        <f t="shared" si="377"/>
        <v>146569.23076923075</v>
      </c>
      <c r="S167" s="269">
        <f t="shared" si="377"/>
        <v>216195.38461538462</v>
      </c>
      <c r="T167" s="269">
        <f t="shared" si="377"/>
        <v>190956.92307692309</v>
      </c>
      <c r="U167" s="269">
        <f t="shared" si="377"/>
        <v>268938.4615384615</v>
      </c>
      <c r="V167" s="269">
        <f t="shared" si="377"/>
        <v>217227.69230769228</v>
      </c>
      <c r="W167" s="269">
        <f t="shared" si="377"/>
        <v>292073.84615384613</v>
      </c>
      <c r="X167" s="269">
        <f t="shared" si="377"/>
        <v>258072.30769230769</v>
      </c>
      <c r="Y167" s="269">
        <f t="shared" si="377"/>
        <v>342135.38461538462</v>
      </c>
      <c r="Z167" s="269">
        <f t="shared" si="377"/>
        <v>271938.4615384615</v>
      </c>
      <c r="AA167" s="269">
        <f t="shared" si="377"/>
        <v>319107.69230769231</v>
      </c>
      <c r="AB167" s="269">
        <f t="shared" si="377"/>
        <v>291600</v>
      </c>
      <c r="AC167" s="269">
        <f t="shared" si="377"/>
        <v>378430.76923076919</v>
      </c>
      <c r="AD167" s="269">
        <f t="shared" si="377"/>
        <v>293261.53846153844</v>
      </c>
      <c r="AE167" s="269">
        <f t="shared" si="377"/>
        <v>346292.30769230769</v>
      </c>
      <c r="AF167" s="269">
        <f t="shared" si="377"/>
        <v>300446.15384615381</v>
      </c>
      <c r="AG167" s="269">
        <f t="shared" si="377"/>
        <v>363476.92307692306</v>
      </c>
      <c r="AH167" s="269">
        <f t="shared" si="377"/>
        <v>296753.84615384619</v>
      </c>
      <c r="AI167" s="269">
        <f t="shared" si="377"/>
        <v>360384.61538461538</v>
      </c>
      <c r="AJ167" s="269">
        <f t="shared" si="377"/>
        <v>319430.76923076925</v>
      </c>
      <c r="AL167" s="272"/>
    </row>
    <row r="168" spans="1:39" s="138" customFormat="1" x14ac:dyDescent="0.25">
      <c r="A168" s="270" t="s">
        <v>265</v>
      </c>
      <c r="B168" s="271">
        <f t="shared" ref="B168:H168" si="378">+B167+B163</f>
        <v>722455.16923076916</v>
      </c>
      <c r="C168" s="271">
        <f t="shared" si="378"/>
        <v>931985.62307692308</v>
      </c>
      <c r="D168" s="271">
        <f t="shared" si="378"/>
        <v>1167349.3846153845</v>
      </c>
      <c r="E168" s="271">
        <f t="shared" si="378"/>
        <v>1474540.5384615385</v>
      </c>
      <c r="F168" s="271">
        <f t="shared" si="378"/>
        <v>1925162.4923076923</v>
      </c>
      <c r="G168" s="271">
        <f t="shared" si="378"/>
        <v>2126138.923076923</v>
      </c>
      <c r="H168" s="271">
        <f t="shared" si="378"/>
        <v>2174700.923076923</v>
      </c>
      <c r="I168" s="270"/>
      <c r="J168" s="271">
        <f t="shared" ref="J168:AJ168" si="379">+J167+J163</f>
        <v>189821.07692307694</v>
      </c>
      <c r="K168" s="271">
        <f t="shared" si="379"/>
        <v>247889</v>
      </c>
      <c r="L168" s="271">
        <f t="shared" si="379"/>
        <v>213151.53846153844</v>
      </c>
      <c r="M168" s="271">
        <f t="shared" si="379"/>
        <v>301930.4615384615</v>
      </c>
      <c r="N168" s="271">
        <f t="shared" si="379"/>
        <v>233943.30769230769</v>
      </c>
      <c r="O168" s="271">
        <f t="shared" si="379"/>
        <v>303931.38461538462</v>
      </c>
      <c r="P168" s="271">
        <f t="shared" si="379"/>
        <v>272500.15384615387</v>
      </c>
      <c r="Q168" s="271">
        <f t="shared" si="379"/>
        <v>356987.38461538462</v>
      </c>
      <c r="R168" s="271">
        <f t="shared" si="379"/>
        <v>276662.23076923075</v>
      </c>
      <c r="S168" s="271">
        <f t="shared" si="379"/>
        <v>394382.38461538462</v>
      </c>
      <c r="T168" s="271">
        <f t="shared" si="379"/>
        <v>342355.92307692312</v>
      </c>
      <c r="U168" s="271">
        <f t="shared" si="379"/>
        <v>461138.4615384615</v>
      </c>
      <c r="V168" s="271">
        <f t="shared" si="379"/>
        <v>392509.4923076923</v>
      </c>
      <c r="W168" s="271">
        <f t="shared" si="379"/>
        <v>511763.64615384612</v>
      </c>
      <c r="X168" s="271">
        <f t="shared" si="379"/>
        <v>444080.60769230768</v>
      </c>
      <c r="Y168" s="271">
        <f t="shared" si="379"/>
        <v>576810.18461538455</v>
      </c>
      <c r="Z168" s="271">
        <f t="shared" si="379"/>
        <v>476354.4615384615</v>
      </c>
      <c r="AA168" s="271">
        <f t="shared" si="379"/>
        <v>545127.69230769225</v>
      </c>
      <c r="AB168" s="271">
        <f t="shared" si="379"/>
        <v>488627</v>
      </c>
      <c r="AC168" s="271">
        <f t="shared" si="379"/>
        <v>616029.76923076925</v>
      </c>
      <c r="AD168" s="271">
        <f t="shared" si="379"/>
        <v>488825.53846153844</v>
      </c>
      <c r="AE168" s="271">
        <f t="shared" si="379"/>
        <v>580147.30769230775</v>
      </c>
      <c r="AF168" s="271">
        <f t="shared" si="379"/>
        <v>495750.15384615381</v>
      </c>
      <c r="AG168" s="271">
        <f t="shared" si="379"/>
        <v>609977.92307692301</v>
      </c>
      <c r="AH168" s="271">
        <f t="shared" si="379"/>
        <v>505261.84615384619</v>
      </c>
      <c r="AI168" s="271">
        <f t="shared" si="379"/>
        <v>594292.61538461538</v>
      </c>
      <c r="AJ168" s="271">
        <f t="shared" si="379"/>
        <v>524043.76923076925</v>
      </c>
    </row>
    <row r="169" spans="1:39" s="149" customFormat="1" x14ac:dyDescent="0.25">
      <c r="A169" s="147" t="s">
        <v>69</v>
      </c>
      <c r="B169" s="259"/>
      <c r="C169" s="149">
        <f t="shared" ref="C169" si="380">C168/B168-1</f>
        <v>0.29002554451821627</v>
      </c>
      <c r="D169" s="149">
        <f t="shared" ref="D169" si="381">D168/C168-1</f>
        <v>0.25254012048105956</v>
      </c>
      <c r="E169" s="149">
        <f t="shared" ref="E169" si="382">E168/D168-1</f>
        <v>0.26315270980107353</v>
      </c>
      <c r="F169" s="149">
        <f t="shared" ref="F169" si="383">F168/E168-1</f>
        <v>0.30560160408767745</v>
      </c>
      <c r="G169" s="149">
        <f t="shared" ref="G169" si="384">G168/F168-1</f>
        <v>0.10439452855136411</v>
      </c>
      <c r="H169" s="149">
        <f t="shared" ref="H169" si="385">H168/G168-1</f>
        <v>2.2840464220335033E-2</v>
      </c>
      <c r="I169" s="148"/>
      <c r="J169" s="148"/>
      <c r="K169" s="148"/>
      <c r="L169" s="148"/>
      <c r="M169" s="148"/>
      <c r="N169" s="148">
        <f>N168/J168-1</f>
        <v>0.23244115713826052</v>
      </c>
      <c r="O169" s="148">
        <f t="shared" ref="O169" si="386">O168/K168-1</f>
        <v>0.22607854570144137</v>
      </c>
      <c r="P169" s="148">
        <f t="shared" ref="P169" si="387">P168/L168-1</f>
        <v>0.27843390581637495</v>
      </c>
      <c r="Q169" s="148">
        <f t="shared" ref="Q169" si="388">Q168/M168-1</f>
        <v>0.18234968010973507</v>
      </c>
      <c r="R169" s="148">
        <f t="shared" ref="R169" si="389">R168/N168-1</f>
        <v>0.18260374061697382</v>
      </c>
      <c r="S169" s="148">
        <f t="shared" ref="S169" si="390">S168/O168-1</f>
        <v>0.29760335581816544</v>
      </c>
      <c r="T169" s="148">
        <f t="shared" ref="T169" si="391">T168/P168-1</f>
        <v>0.25635130198938505</v>
      </c>
      <c r="U169" s="148">
        <f t="shared" ref="U169" si="392">U168/Q168-1</f>
        <v>0.29175002090140634</v>
      </c>
      <c r="V169" s="148">
        <f t="shared" ref="V169" si="393">V168/R168-1</f>
        <v>0.41873175538402996</v>
      </c>
      <c r="W169" s="148">
        <f t="shared" ref="W169" si="394">W168/S168-1</f>
        <v>0.29763312489967264</v>
      </c>
      <c r="X169" s="148">
        <f t="shared" ref="X169" si="395">X168/T168-1</f>
        <v>0.297131370478811</v>
      </c>
      <c r="Y169" s="148">
        <f t="shared" ref="Y169" si="396">Y168/U168-1</f>
        <v>0.250839460866084</v>
      </c>
      <c r="Z169" s="148">
        <f t="shared" ref="Z169" si="397">Z168/V168-1</f>
        <v>0.2136125899473591</v>
      </c>
      <c r="AA169" s="148">
        <f t="shared" ref="AA169" si="398">AA168/W168-1</f>
        <v>6.5194248174119451E-2</v>
      </c>
      <c r="AB169" s="148">
        <f t="shared" ref="AB169" si="399">AB168/X168-1</f>
        <v>0.10031150096641328</v>
      </c>
      <c r="AC169" s="148">
        <f t="shared" ref="AC169" si="400">AC168/Y168-1</f>
        <v>6.7993918383282725E-2</v>
      </c>
      <c r="AD169" s="148">
        <f t="shared" ref="AD169" si="401">AD168/Z168-1</f>
        <v>2.6180245867330809E-2</v>
      </c>
      <c r="AE169" s="148">
        <f t="shared" ref="AE169" si="402">AE168/AA168-1</f>
        <v>6.4241123462957406E-2</v>
      </c>
      <c r="AF169" s="148">
        <f t="shared" ref="AF169" si="403">AF168/AB168-1</f>
        <v>1.4577896526704048E-2</v>
      </c>
      <c r="AG169" s="148">
        <f t="shared" ref="AG169" si="404">AG168/AC168-1</f>
        <v>-9.8239508155638644E-3</v>
      </c>
      <c r="AH169" s="148">
        <f t="shared" ref="AH169" si="405">AH168/AD168-1</f>
        <v>3.3624077301765087E-2</v>
      </c>
      <c r="AI169" s="148">
        <f t="shared" ref="AI169" si="406">AI168/AE168-1</f>
        <v>2.4382268959541431E-2</v>
      </c>
      <c r="AJ169" s="148">
        <f t="shared" ref="AJ169" si="407">AJ168/AF168-1</f>
        <v>5.7072327996484651E-2</v>
      </c>
    </row>
    <row r="170" spans="1:39" x14ac:dyDescent="0.25">
      <c r="A170" s="6"/>
      <c r="B170" s="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9" s="3" customFormat="1" hidden="1" outlineLevel="1" x14ac:dyDescent="0.25">
      <c r="A171" s="1" t="s">
        <v>144</v>
      </c>
      <c r="B171" s="260">
        <v>292.5</v>
      </c>
      <c r="C171" s="260">
        <v>305.3</v>
      </c>
      <c r="D171" s="260">
        <v>362</v>
      </c>
      <c r="E171" s="260">
        <v>471.9</v>
      </c>
      <c r="F171" s="260">
        <v>569.70000000000005</v>
      </c>
      <c r="G171" s="261">
        <v>590</v>
      </c>
      <c r="H171" s="261">
        <v>615.59</v>
      </c>
      <c r="I171" s="1"/>
      <c r="J171" s="250">
        <v>301.8</v>
      </c>
      <c r="K171" s="250">
        <v>313.8</v>
      </c>
      <c r="L171" s="250">
        <v>305.2</v>
      </c>
      <c r="M171" s="250">
        <v>305.3</v>
      </c>
      <c r="N171" s="250">
        <v>310.5</v>
      </c>
      <c r="O171" s="250">
        <v>321.3</v>
      </c>
      <c r="P171" s="250">
        <v>334.4</v>
      </c>
      <c r="Q171" s="250">
        <v>362</v>
      </c>
      <c r="R171" s="250">
        <v>387.4</v>
      </c>
      <c r="S171" s="250">
        <v>417.4</v>
      </c>
      <c r="T171" s="250">
        <v>441.6</v>
      </c>
      <c r="U171" s="250">
        <v>471.9</v>
      </c>
      <c r="V171" s="250">
        <v>499.8</v>
      </c>
      <c r="W171" s="250">
        <v>531.9</v>
      </c>
      <c r="X171" s="250">
        <v>552.20000000000005</v>
      </c>
      <c r="Y171" s="250">
        <v>569.70000000000005</v>
      </c>
      <c r="Z171" s="250">
        <v>580.5</v>
      </c>
      <c r="AA171" s="250">
        <v>580.79999999999995</v>
      </c>
      <c r="AB171" s="250">
        <v>588.29999999999995</v>
      </c>
      <c r="AC171" s="262">
        <v>590</v>
      </c>
      <c r="AD171" s="262">
        <v>600</v>
      </c>
      <c r="AE171" s="262">
        <v>602.29999999999995</v>
      </c>
      <c r="AF171" s="262">
        <v>607.5</v>
      </c>
      <c r="AG171" s="262">
        <v>615.59</v>
      </c>
      <c r="AH171" s="1"/>
      <c r="AI171" s="1"/>
      <c r="AJ171" s="1"/>
    </row>
    <row r="172" spans="1:39" s="149" customFormat="1" hidden="1" outlineLevel="1" x14ac:dyDescent="0.25">
      <c r="A172" s="147" t="s">
        <v>69</v>
      </c>
      <c r="B172" s="259"/>
      <c r="C172" s="149">
        <f t="shared" ref="C172" si="408">C171/B171-1</f>
        <v>4.3760683760683872E-2</v>
      </c>
      <c r="D172" s="149">
        <f t="shared" ref="D172" si="409">D171/C171-1</f>
        <v>0.18571896495250573</v>
      </c>
      <c r="E172" s="149">
        <f t="shared" ref="E172" si="410">E171/D171-1</f>
        <v>0.30359116022099442</v>
      </c>
      <c r="F172" s="149">
        <f t="shared" ref="F172" si="411">F171/E171-1</f>
        <v>0.20724729815638931</v>
      </c>
      <c r="G172" s="149">
        <f t="shared" ref="G172" si="412">G171/F171-1</f>
        <v>3.5632789187291403E-2</v>
      </c>
      <c r="H172" s="149">
        <f t="shared" ref="H172" si="413">H171/G171-1</f>
        <v>4.3372881355932202E-2</v>
      </c>
      <c r="I172" s="148"/>
      <c r="J172" s="148"/>
      <c r="K172" s="148"/>
      <c r="L172" s="148"/>
      <c r="M172" s="148"/>
      <c r="N172" s="148">
        <f>N171/J171-1</f>
        <v>2.8827037773359709E-2</v>
      </c>
      <c r="O172" s="148">
        <f t="shared" ref="O172:AG172" si="414">O171/K171-1</f>
        <v>2.390057361376674E-2</v>
      </c>
      <c r="P172" s="148">
        <f t="shared" si="414"/>
        <v>9.5674967234600228E-2</v>
      </c>
      <c r="Q172" s="148">
        <f t="shared" si="414"/>
        <v>0.18571896495250573</v>
      </c>
      <c r="R172" s="148">
        <f t="shared" si="414"/>
        <v>0.24766505636070857</v>
      </c>
      <c r="S172" s="148">
        <f t="shared" si="414"/>
        <v>0.29909741674447554</v>
      </c>
      <c r="T172" s="148">
        <f t="shared" si="414"/>
        <v>0.32057416267942607</v>
      </c>
      <c r="U172" s="148">
        <f t="shared" si="414"/>
        <v>0.30359116022099442</v>
      </c>
      <c r="V172" s="148">
        <f t="shared" si="414"/>
        <v>0.29013939081053186</v>
      </c>
      <c r="W172" s="148">
        <f t="shared" si="414"/>
        <v>0.27431720172496399</v>
      </c>
      <c r="X172" s="148">
        <f t="shared" si="414"/>
        <v>0.25045289855072461</v>
      </c>
      <c r="Y172" s="148">
        <f t="shared" si="414"/>
        <v>0.20724729815638931</v>
      </c>
      <c r="Z172" s="148">
        <f t="shared" si="414"/>
        <v>0.16146458583433376</v>
      </c>
      <c r="AA172" s="148">
        <f t="shared" si="414"/>
        <v>9.1934574168076599E-2</v>
      </c>
      <c r="AB172" s="148">
        <f t="shared" si="414"/>
        <v>6.5374864179644776E-2</v>
      </c>
      <c r="AC172" s="148">
        <f t="shared" si="414"/>
        <v>3.5632789187291403E-2</v>
      </c>
      <c r="AD172" s="148">
        <f t="shared" si="414"/>
        <v>3.3591731266149782E-2</v>
      </c>
      <c r="AE172" s="148">
        <f t="shared" si="414"/>
        <v>3.7017906336088258E-2</v>
      </c>
      <c r="AF172" s="148">
        <f t="shared" si="414"/>
        <v>3.2636409994900584E-2</v>
      </c>
      <c r="AG172" s="148">
        <f t="shared" si="414"/>
        <v>4.3372881355932202E-2</v>
      </c>
      <c r="AH172" s="148"/>
      <c r="AI172" s="148"/>
      <c r="AJ172" s="148"/>
    </row>
    <row r="173" spans="1:39" collapsed="1" x14ac:dyDescent="0.25">
      <c r="A173" s="6"/>
      <c r="B173" s="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9" x14ac:dyDescent="0.25">
      <c r="A174" s="6" t="s">
        <v>145</v>
      </c>
      <c r="B174" s="1"/>
      <c r="C174" s="1"/>
      <c r="D174" s="1"/>
      <c r="E174" s="1"/>
      <c r="F174" s="1"/>
      <c r="G174" s="1"/>
      <c r="H174" s="1"/>
      <c r="I174" s="1"/>
      <c r="J174" s="4"/>
      <c r="K174" s="4"/>
      <c r="L174" s="4"/>
      <c r="M174" s="4"/>
      <c r="N174" s="4"/>
      <c r="O174" s="4"/>
      <c r="P174" s="4"/>
      <c r="Q174" s="4"/>
      <c r="R174" s="4"/>
      <c r="S174" s="4"/>
      <c r="T174" s="4"/>
      <c r="U174" s="4"/>
      <c r="V174" s="4"/>
      <c r="W174" s="4"/>
      <c r="X174" s="4"/>
      <c r="Y174" s="4"/>
      <c r="Z174" s="4"/>
      <c r="AA174" s="4"/>
      <c r="AB174" s="4"/>
      <c r="AC174" s="4" t="s">
        <v>104</v>
      </c>
      <c r="AD174" s="1"/>
      <c r="AE174" s="1"/>
      <c r="AF174" s="1"/>
      <c r="AG174" s="4"/>
      <c r="AH174" s="1"/>
      <c r="AI174" s="1"/>
      <c r="AJ174" s="1"/>
    </row>
    <row r="175" spans="1:39" s="3" customFormat="1" x14ac:dyDescent="0.25">
      <c r="A175" s="1" t="s">
        <v>169</v>
      </c>
      <c r="B175" s="43">
        <v>3287</v>
      </c>
      <c r="C175" s="43">
        <v>7334</v>
      </c>
      <c r="D175" s="43">
        <v>12205</v>
      </c>
      <c r="E175" s="43">
        <v>25262</v>
      </c>
      <c r="F175" s="43">
        <v>43100</v>
      </c>
      <c r="G175" s="43">
        <v>63300</v>
      </c>
      <c r="H175" s="141">
        <v>73400</v>
      </c>
      <c r="I175" s="1"/>
      <c r="J175" s="43">
        <v>4059</v>
      </c>
      <c r="K175" s="43">
        <v>5033</v>
      </c>
      <c r="L175" s="43">
        <v>6116</v>
      </c>
      <c r="M175" s="43">
        <v>7334</v>
      </c>
      <c r="N175" s="43">
        <v>8191</v>
      </c>
      <c r="O175" s="43">
        <v>9231</v>
      </c>
      <c r="P175" s="43">
        <v>10516</v>
      </c>
      <c r="Q175" s="43">
        <v>12205</v>
      </c>
      <c r="R175" s="43">
        <v>15700</v>
      </c>
      <c r="S175" s="43">
        <v>18300</v>
      </c>
      <c r="T175" s="43">
        <v>21300</v>
      </c>
      <c r="U175" s="43">
        <v>25262</v>
      </c>
      <c r="V175" s="8">
        <f t="shared" ref="V175:AB175" si="415">SUM(S178:V178)</f>
        <v>28135</v>
      </c>
      <c r="W175" s="8">
        <f t="shared" si="415"/>
        <v>32310</v>
      </c>
      <c r="X175" s="8">
        <f t="shared" si="415"/>
        <v>37241</v>
      </c>
      <c r="Y175" s="8">
        <f t="shared" si="415"/>
        <v>43080</v>
      </c>
      <c r="Z175" s="8">
        <f t="shared" si="415"/>
        <v>49076</v>
      </c>
      <c r="AA175" s="8">
        <f t="shared" si="415"/>
        <v>54570</v>
      </c>
      <c r="AB175" s="8">
        <f t="shared" si="415"/>
        <v>58949</v>
      </c>
      <c r="AC175" s="43">
        <v>63300</v>
      </c>
      <c r="AD175" s="43">
        <v>67300</v>
      </c>
      <c r="AE175" s="43">
        <v>70800</v>
      </c>
      <c r="AF175" s="43">
        <v>73100</v>
      </c>
      <c r="AG175" s="141">
        <v>73400</v>
      </c>
      <c r="AH175" s="8">
        <f>SUM(AE178:AH178)</f>
        <v>72365.278681220763</v>
      </c>
      <c r="AI175" s="8">
        <f>SUM(AF178:AI178)</f>
        <v>71959.278681220763</v>
      </c>
      <c r="AJ175" s="8">
        <f>SUM(AG178:AJ178)</f>
        <v>68977.835159208189</v>
      </c>
      <c r="AK175" s="17"/>
      <c r="AM175" s="17"/>
    </row>
    <row r="176" spans="1:39" s="255" customFormat="1" x14ac:dyDescent="0.25">
      <c r="A176" s="110" t="s">
        <v>69</v>
      </c>
      <c r="B176" s="110"/>
      <c r="C176" s="32">
        <f t="shared" ref="C176:H176" si="416">C175/B175-1</f>
        <v>1.2312138728323698</v>
      </c>
      <c r="D176" s="32">
        <f t="shared" si="416"/>
        <v>0.66416689391873462</v>
      </c>
      <c r="E176" s="32">
        <f t="shared" si="416"/>
        <v>1.0698074559606718</v>
      </c>
      <c r="F176" s="32">
        <f t="shared" si="416"/>
        <v>0.70611986382709202</v>
      </c>
      <c r="G176" s="32">
        <f>G175/F175-1</f>
        <v>0.46867749419953597</v>
      </c>
      <c r="H176" s="32">
        <f t="shared" si="416"/>
        <v>0.15955766192733023</v>
      </c>
      <c r="I176" s="110"/>
      <c r="J176" s="50"/>
      <c r="K176" s="50"/>
      <c r="L176" s="50"/>
      <c r="M176" s="50"/>
      <c r="N176" s="32">
        <f t="shared" ref="N176:AJ176" si="417">N175/J175-1</f>
        <v>1.0179847253017984</v>
      </c>
      <c r="O176" s="32">
        <f t="shared" si="417"/>
        <v>0.83409497317703152</v>
      </c>
      <c r="P176" s="32">
        <f t="shared" si="417"/>
        <v>0.71942446043165464</v>
      </c>
      <c r="Q176" s="32">
        <f t="shared" si="417"/>
        <v>0.66416689391873462</v>
      </c>
      <c r="R176" s="32">
        <f t="shared" si="417"/>
        <v>0.91673788304236359</v>
      </c>
      <c r="S176" s="32">
        <f t="shared" si="417"/>
        <v>0.9824504387390316</v>
      </c>
      <c r="T176" s="32">
        <f t="shared" si="417"/>
        <v>1.0254849752757704</v>
      </c>
      <c r="U176" s="32">
        <f t="shared" si="417"/>
        <v>1.0698074559606718</v>
      </c>
      <c r="V176" s="32">
        <f t="shared" si="417"/>
        <v>0.79203821656050954</v>
      </c>
      <c r="W176" s="32">
        <f t="shared" si="417"/>
        <v>0.76557377049180331</v>
      </c>
      <c r="X176" s="32">
        <f t="shared" si="417"/>
        <v>0.74840375586854457</v>
      </c>
      <c r="Y176" s="32">
        <f t="shared" si="417"/>
        <v>0.70532816087404004</v>
      </c>
      <c r="Z176" s="32">
        <f t="shared" si="417"/>
        <v>0.74430424737870982</v>
      </c>
      <c r="AA176" s="32">
        <f t="shared" si="417"/>
        <v>0.68895078922934072</v>
      </c>
      <c r="AB176" s="32">
        <f t="shared" si="417"/>
        <v>0.58290593700491389</v>
      </c>
      <c r="AC176" s="32">
        <f t="shared" si="417"/>
        <v>0.46935933147632314</v>
      </c>
      <c r="AD176" s="32">
        <f t="shared" si="417"/>
        <v>0.37134240769418869</v>
      </c>
      <c r="AE176" s="32">
        <f t="shared" si="417"/>
        <v>0.29741616272677285</v>
      </c>
      <c r="AF176" s="32">
        <f t="shared" si="417"/>
        <v>0.24005496276442351</v>
      </c>
      <c r="AG176" s="25">
        <f t="shared" si="417"/>
        <v>0.15955766192733023</v>
      </c>
      <c r="AH176" s="32">
        <f t="shared" si="417"/>
        <v>7.5264170597634017E-2</v>
      </c>
      <c r="AI176" s="32">
        <f t="shared" si="417"/>
        <v>1.6373992672609639E-2</v>
      </c>
      <c r="AJ176" s="32">
        <f t="shared" si="417"/>
        <v>-5.6390763895920792E-2</v>
      </c>
    </row>
    <row r="177" spans="1:37" x14ac:dyDescent="0.25">
      <c r="A177" s="71"/>
      <c r="B177" s="71"/>
      <c r="C177" s="18"/>
      <c r="D177" s="18"/>
      <c r="E177" s="18"/>
      <c r="F177" s="18"/>
      <c r="G177" s="43"/>
      <c r="H177" s="43"/>
      <c r="I177" s="71"/>
      <c r="J177" s="4"/>
      <c r="K177" s="4"/>
      <c r="L177" s="4"/>
      <c r="M177" s="4"/>
      <c r="N177" s="18"/>
      <c r="O177" s="18"/>
      <c r="P177" s="18"/>
      <c r="Q177" s="18"/>
      <c r="R177" s="18"/>
      <c r="S177" s="18"/>
      <c r="T177" s="18"/>
      <c r="U177" s="18"/>
      <c r="V177" s="18"/>
      <c r="W177" s="18"/>
      <c r="X177" s="18"/>
      <c r="Y177" s="18"/>
      <c r="Z177" s="18"/>
      <c r="AA177" s="18"/>
      <c r="AB177" s="18"/>
      <c r="AC177" s="18"/>
      <c r="AD177" s="111"/>
      <c r="AE177" s="111"/>
      <c r="AF177" s="111"/>
      <c r="AG177" s="20"/>
      <c r="AH177" s="111"/>
      <c r="AI177" s="111"/>
      <c r="AJ177" s="111"/>
    </row>
    <row r="178" spans="1:37" s="3" customFormat="1" x14ac:dyDescent="0.25">
      <c r="A178" s="1" t="s">
        <v>170</v>
      </c>
      <c r="B178" s="8">
        <f>B175</f>
        <v>3287</v>
      </c>
      <c r="C178" s="8">
        <f>C175</f>
        <v>7334</v>
      </c>
      <c r="D178" s="8">
        <f>D175</f>
        <v>12205</v>
      </c>
      <c r="E178" s="8">
        <f>E175</f>
        <v>25262</v>
      </c>
      <c r="F178" s="8">
        <f t="shared" ref="F178:H178" si="418">F175</f>
        <v>43100</v>
      </c>
      <c r="G178" s="8">
        <f t="shared" si="418"/>
        <v>63300</v>
      </c>
      <c r="H178" s="8">
        <f t="shared" si="418"/>
        <v>73400</v>
      </c>
      <c r="I178" s="112"/>
      <c r="J178" s="9">
        <f t="shared" ref="J178:Q178" si="419">M175-(N175-N178)</f>
        <v>1210</v>
      </c>
      <c r="K178" s="9">
        <f t="shared" si="419"/>
        <v>1597</v>
      </c>
      <c r="L178" s="9">
        <f t="shared" si="419"/>
        <v>2116</v>
      </c>
      <c r="M178" s="9">
        <f t="shared" si="419"/>
        <v>2410</v>
      </c>
      <c r="N178" s="9">
        <f t="shared" si="419"/>
        <v>2067</v>
      </c>
      <c r="O178" s="9">
        <f t="shared" si="419"/>
        <v>2637</v>
      </c>
      <c r="P178" s="9">
        <f t="shared" si="419"/>
        <v>3401</v>
      </c>
      <c r="Q178" s="9">
        <f t="shared" si="419"/>
        <v>4099</v>
      </c>
      <c r="R178" s="43">
        <v>5562</v>
      </c>
      <c r="S178" s="43">
        <v>5237</v>
      </c>
      <c r="T178" s="43">
        <v>6401</v>
      </c>
      <c r="U178" s="43">
        <v>8061</v>
      </c>
      <c r="V178" s="43">
        <v>8436</v>
      </c>
      <c r="W178" s="43">
        <v>9412</v>
      </c>
      <c r="X178" s="43">
        <v>11332</v>
      </c>
      <c r="Y178" s="43">
        <v>13900</v>
      </c>
      <c r="Z178" s="43">
        <v>14432</v>
      </c>
      <c r="AA178" s="43">
        <v>14906</v>
      </c>
      <c r="AB178" s="43">
        <v>15711</v>
      </c>
      <c r="AC178" s="9">
        <f>AC175-SUM(Z178:AB178)</f>
        <v>18251</v>
      </c>
      <c r="AD178" s="9">
        <f>AD175-SUM(AA178:AC178)</f>
        <v>18432</v>
      </c>
      <c r="AE178" s="9">
        <f>AE175-SUM(AB178:AD178)</f>
        <v>18406</v>
      </c>
      <c r="AF178" s="9">
        <f>AF175-SUM(AC178:AE178)</f>
        <v>18011</v>
      </c>
      <c r="AG178" s="9">
        <f>AG175-SUM(AD178:AF178)</f>
        <v>18551</v>
      </c>
      <c r="AH178" s="9">
        <f>AD178*(1+AH179)</f>
        <v>17397.278681220763</v>
      </c>
      <c r="AI178" s="157">
        <v>18000</v>
      </c>
      <c r="AJ178" s="9">
        <f>AF178*(1+AJ179)</f>
        <v>15029.55647798742</v>
      </c>
    </row>
    <row r="179" spans="1:37" s="255" customFormat="1" x14ac:dyDescent="0.25">
      <c r="A179" s="110" t="s">
        <v>69</v>
      </c>
      <c r="B179" s="110"/>
      <c r="C179" s="32">
        <f t="shared" ref="C179" si="420">C178/B178-1</f>
        <v>1.2312138728323698</v>
      </c>
      <c r="D179" s="32">
        <f t="shared" ref="D179" si="421">D178/C178-1</f>
        <v>0.66416689391873462</v>
      </c>
      <c r="E179" s="32">
        <f t="shared" ref="E179" si="422">E178/D178-1</f>
        <v>1.0698074559606718</v>
      </c>
      <c r="F179" s="32">
        <f t="shared" ref="F179" si="423">F178/E178-1</f>
        <v>0.70611986382709202</v>
      </c>
      <c r="G179" s="32">
        <f>G178/F178-1</f>
        <v>0.46867749419953597</v>
      </c>
      <c r="H179" s="32">
        <f t="shared" ref="H179" si="424">H178/G178-1</f>
        <v>0.15955766192733023</v>
      </c>
      <c r="I179" s="110"/>
      <c r="J179" s="50"/>
      <c r="K179" s="50"/>
      <c r="L179" s="50"/>
      <c r="M179" s="50"/>
      <c r="N179" s="32">
        <f t="shared" ref="N179" si="425">N178/J178-1</f>
        <v>0.70826446280991728</v>
      </c>
      <c r="O179" s="32">
        <f t="shared" ref="O179" si="426">O178/K178-1</f>
        <v>0.65122103944896681</v>
      </c>
      <c r="P179" s="32">
        <f t="shared" ref="P179" si="427">P178/L178-1</f>
        <v>0.60727788279773165</v>
      </c>
      <c r="Q179" s="32">
        <f t="shared" ref="Q179" si="428">Q178/M178-1</f>
        <v>0.70082987551867215</v>
      </c>
      <c r="R179" s="32">
        <f t="shared" ref="R179" si="429">R178/N178-1</f>
        <v>1.6908563134978229</v>
      </c>
      <c r="S179" s="32">
        <f t="shared" ref="S179" si="430">S178/O178-1</f>
        <v>0.98596890405764115</v>
      </c>
      <c r="T179" s="32">
        <f t="shared" ref="T179" si="431">T178/P178-1</f>
        <v>0.88209350191120262</v>
      </c>
      <c r="U179" s="32">
        <f t="shared" ref="U179" si="432">U178/Q178-1</f>
        <v>0.96657721395462315</v>
      </c>
      <c r="V179" s="32">
        <f t="shared" ref="V179" si="433">V178/R178-1</f>
        <v>0.51672060409924492</v>
      </c>
      <c r="W179" s="32">
        <f t="shared" ref="W179" si="434">W178/S178-1</f>
        <v>0.79721214435745646</v>
      </c>
      <c r="X179" s="32">
        <f t="shared" ref="X179" si="435">X178/T178-1</f>
        <v>0.77034838306514608</v>
      </c>
      <c r="Y179" s="32">
        <f t="shared" ref="Y179" si="436">Y178/U178-1</f>
        <v>0.72435181739238308</v>
      </c>
      <c r="Z179" s="32">
        <f t="shared" ref="Z179" si="437">Z178/V178-1</f>
        <v>0.71076339497392138</v>
      </c>
      <c r="AA179" s="32">
        <f t="shared" ref="AA179" si="438">AA178/W178-1</f>
        <v>0.58372290692732687</v>
      </c>
      <c r="AB179" s="32">
        <f t="shared" ref="AB179" si="439">AB178/X178-1</f>
        <v>0.38642781503706325</v>
      </c>
      <c r="AC179" s="32">
        <f t="shared" ref="AC179" si="440">AC178/Y178-1</f>
        <v>0.31302158273381298</v>
      </c>
      <c r="AD179" s="32">
        <f t="shared" ref="AD179" si="441">AD178/Z178-1</f>
        <v>0.27716186252771613</v>
      </c>
      <c r="AE179" s="32">
        <f t="shared" ref="AE179" si="442">AE178/AA178-1</f>
        <v>0.23480477660002674</v>
      </c>
      <c r="AF179" s="32">
        <f t="shared" ref="AF179" si="443">AF178/AB178-1</f>
        <v>0.14639424606963281</v>
      </c>
      <c r="AG179" s="25">
        <f t="shared" ref="AG179" si="444">AG178/AC178-1</f>
        <v>1.643745548189135E-2</v>
      </c>
      <c r="AH179" s="139">
        <f>AH186</f>
        <v>-5.6137224326130553E-2</v>
      </c>
      <c r="AI179" s="32">
        <f t="shared" ref="AI179" si="445">AI178/AE178-1</f>
        <v>-2.2058024557209621E-2</v>
      </c>
      <c r="AJ179" s="139">
        <f>AJ186</f>
        <v>-0.16553459119496861</v>
      </c>
    </row>
    <row r="180" spans="1:37" s="36" customFormat="1" outlineLevel="1" x14ac:dyDescent="0.25">
      <c r="A180" s="35"/>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25"/>
      <c r="AH180" s="32"/>
      <c r="AI180" s="32"/>
      <c r="AJ180" s="32"/>
      <c r="AK180" s="32"/>
    </row>
    <row r="181" spans="1:37" s="253" customFormat="1" outlineLevel="1" x14ac:dyDescent="0.25">
      <c r="A181" s="263" t="s">
        <v>126</v>
      </c>
      <c r="B181" s="42"/>
      <c r="C181" s="118"/>
      <c r="D181" s="118">
        <v>347.8</v>
      </c>
      <c r="E181" s="118">
        <v>687.7</v>
      </c>
      <c r="F181" s="81">
        <f>F183-F182</f>
        <v>1076.5740522875817</v>
      </c>
      <c r="G181" s="81">
        <f>G183-G182</f>
        <v>1611.8629999999994</v>
      </c>
      <c r="H181" s="81">
        <f>H183-H182</f>
        <v>1669.2730000000001</v>
      </c>
      <c r="I181" s="119"/>
      <c r="J181" s="119"/>
      <c r="K181" s="119"/>
      <c r="L181" s="119"/>
      <c r="M181" s="119"/>
      <c r="N181" s="119"/>
      <c r="O181" s="119"/>
      <c r="P181" s="120">
        <v>95.8</v>
      </c>
      <c r="Q181" s="120">
        <f>347.8-237.8</f>
        <v>110</v>
      </c>
      <c r="R181" s="120">
        <v>180.8</v>
      </c>
      <c r="S181" s="118">
        <v>147.5</v>
      </c>
      <c r="T181" s="120">
        <v>158.30000000000001</v>
      </c>
      <c r="U181" s="7">
        <f>E181-SUM(R181:T181)</f>
        <v>201.10000000000002</v>
      </c>
      <c r="V181" s="120">
        <v>229.9</v>
      </c>
      <c r="W181" s="253">
        <f t="shared" ref="W181:AC181" si="446">W183-W182</f>
        <v>220.56111111111107</v>
      </c>
      <c r="X181" s="253">
        <f t="shared" si="446"/>
        <v>278.51294117647063</v>
      </c>
      <c r="Y181" s="253">
        <f>Y194*Y178</f>
        <v>347.5</v>
      </c>
      <c r="Z181" s="253">
        <f t="shared" si="446"/>
        <v>368.67599999999999</v>
      </c>
      <c r="AA181" s="253">
        <f>AA183-AA182</f>
        <v>375.49</v>
      </c>
      <c r="AB181" s="253">
        <f t="shared" si="446"/>
        <v>415.88199999999995</v>
      </c>
      <c r="AC181" s="253">
        <f t="shared" si="446"/>
        <v>382.61500000000001</v>
      </c>
      <c r="AD181" s="42">
        <f>845-AE181</f>
        <v>448.9</v>
      </c>
      <c r="AE181" s="42">
        <v>396.1</v>
      </c>
      <c r="AF181" s="42">
        <v>397.5</v>
      </c>
      <c r="AG181" s="253">
        <f>AG194*AG178</f>
        <v>426.673</v>
      </c>
      <c r="AH181" s="42">
        <v>423.7</v>
      </c>
      <c r="AI181" s="42">
        <v>371</v>
      </c>
      <c r="AJ181" s="42">
        <v>331.7</v>
      </c>
    </row>
    <row r="182" spans="1:37" s="253" customFormat="1" outlineLevel="1" x14ac:dyDescent="0.25">
      <c r="A182" s="263" t="s">
        <v>127</v>
      </c>
      <c r="C182" s="70"/>
      <c r="D182" s="70">
        <f>D183-D181</f>
        <v>112.19999999999999</v>
      </c>
      <c r="E182" s="70">
        <f>E183-E181</f>
        <v>523.79999999999995</v>
      </c>
      <c r="F182" s="81">
        <f>SUM(V182:Y182)</f>
        <v>1198.7259477124185</v>
      </c>
      <c r="G182" s="81">
        <f>SUM(Z182:AC182)</f>
        <v>2219.3370000000004</v>
      </c>
      <c r="H182" s="81">
        <f>SUM(AD182:AG182)</f>
        <v>2141.027</v>
      </c>
      <c r="I182" s="121"/>
      <c r="J182" s="121"/>
      <c r="K182" s="121"/>
      <c r="L182" s="121"/>
      <c r="M182" s="121"/>
      <c r="N182" s="121"/>
      <c r="O182" s="121"/>
      <c r="P182" s="70">
        <f>P183-P181</f>
        <v>41.09999999999998</v>
      </c>
      <c r="Q182" s="70">
        <f>Q183-Q181</f>
        <v>63.400000000000091</v>
      </c>
      <c r="R182" s="70">
        <f>R183-R181</f>
        <v>101.90000000000003</v>
      </c>
      <c r="S182" s="70">
        <f t="shared" ref="S182:T182" si="447">S183-S181</f>
        <v>156.60000000000002</v>
      </c>
      <c r="T182" s="70">
        <f t="shared" si="447"/>
        <v>139</v>
      </c>
      <c r="U182" s="70">
        <f>U183-U181</f>
        <v>178.7</v>
      </c>
      <c r="V182" s="70">
        <f>V183-V181</f>
        <v>178.79999999999998</v>
      </c>
      <c r="W182" s="70">
        <f>AA182/(1+AA187)</f>
        <v>289.8388888888889</v>
      </c>
      <c r="X182" s="70">
        <f>AB182/(1+AB187)</f>
        <v>351.18705882352941</v>
      </c>
      <c r="Y182" s="70">
        <f>Y183-Y181</f>
        <v>378.9</v>
      </c>
      <c r="Z182" s="81">
        <f>Z195*Z178</f>
        <v>461.82400000000001</v>
      </c>
      <c r="AA182" s="81">
        <f>AA195*AA178</f>
        <v>521.71</v>
      </c>
      <c r="AB182" s="70">
        <f>AB195*AB178</f>
        <v>597.01800000000003</v>
      </c>
      <c r="AC182" s="70">
        <f>AC195*AC178</f>
        <v>638.78500000000008</v>
      </c>
      <c r="AD182" s="120">
        <f>1225.5-AE182</f>
        <v>650.29999999999995</v>
      </c>
      <c r="AE182" s="120">
        <v>575.20000000000005</v>
      </c>
      <c r="AF182" s="120">
        <v>480.3</v>
      </c>
      <c r="AG182" s="81">
        <f>AG183-AG181</f>
        <v>435.22699999999998</v>
      </c>
      <c r="AH182" s="120">
        <v>362.8</v>
      </c>
      <c r="AI182" s="120">
        <v>128.80000000000001</v>
      </c>
      <c r="AJ182" s="120">
        <v>66.3</v>
      </c>
    </row>
    <row r="183" spans="1:37" s="253" customFormat="1" outlineLevel="1" x14ac:dyDescent="0.25">
      <c r="A183" s="264" t="s">
        <v>128</v>
      </c>
      <c r="B183" s="42"/>
      <c r="C183" s="118"/>
      <c r="D183" s="118">
        <v>460</v>
      </c>
      <c r="E183" s="118">
        <v>1211.5</v>
      </c>
      <c r="F183" s="120">
        <v>2275.3000000000002</v>
      </c>
      <c r="G183" s="120">
        <v>3831.2</v>
      </c>
      <c r="H183" s="120">
        <v>3810.3</v>
      </c>
      <c r="I183" s="119"/>
      <c r="J183" s="119"/>
      <c r="K183" s="119"/>
      <c r="L183" s="119"/>
      <c r="M183" s="119"/>
      <c r="N183" s="119"/>
      <c r="O183" s="119"/>
      <c r="P183" s="70">
        <f>P185-P184</f>
        <v>136.89999999999998</v>
      </c>
      <c r="Q183" s="70">
        <f>Q185-Q184</f>
        <v>173.40000000000009</v>
      </c>
      <c r="R183" s="70">
        <f>R185-R184</f>
        <v>282.70000000000005</v>
      </c>
      <c r="S183" s="70">
        <f>S185-S184</f>
        <v>304.10000000000002</v>
      </c>
      <c r="T183" s="120">
        <v>297.3</v>
      </c>
      <c r="U183" s="11">
        <v>379.8</v>
      </c>
      <c r="V183" s="120">
        <v>408.7</v>
      </c>
      <c r="W183" s="118">
        <v>510.4</v>
      </c>
      <c r="X183" s="42">
        <v>629.70000000000005</v>
      </c>
      <c r="Y183" s="42">
        <v>726.4</v>
      </c>
      <c r="Z183" s="42">
        <v>830.5</v>
      </c>
      <c r="AA183" s="42">
        <v>897.2</v>
      </c>
      <c r="AB183" s="42">
        <v>1012.9</v>
      </c>
      <c r="AC183" s="42">
        <f>1090.4-69</f>
        <v>1021.4000000000001</v>
      </c>
      <c r="AD183" s="253">
        <f>SUM(AD181:AD182)</f>
        <v>1099.1999999999998</v>
      </c>
      <c r="AE183" s="253">
        <f>SUM(AE181:AE182)</f>
        <v>971.30000000000007</v>
      </c>
      <c r="AF183" s="253">
        <f>SUM(AF181:AF182)</f>
        <v>877.8</v>
      </c>
      <c r="AG183" s="42">
        <f>861.9</f>
        <v>861.9</v>
      </c>
      <c r="AH183" s="253">
        <f>SUM(AH181:AH182)</f>
        <v>786.5</v>
      </c>
      <c r="AI183" s="253">
        <f>SUM(AI181:AI182)</f>
        <v>499.8</v>
      </c>
      <c r="AJ183" s="253">
        <f>SUM(AJ181:AJ182)</f>
        <v>398</v>
      </c>
    </row>
    <row r="184" spans="1:37" s="258" customFormat="1" outlineLevel="1" x14ac:dyDescent="0.25">
      <c r="A184" s="265" t="s">
        <v>129</v>
      </c>
      <c r="B184" s="122"/>
      <c r="C184" s="122"/>
      <c r="D184" s="123">
        <v>642.9</v>
      </c>
      <c r="E184" s="123">
        <v>1093.8</v>
      </c>
      <c r="F184" s="123">
        <v>1770.2</v>
      </c>
      <c r="G184" s="123">
        <f>2373.9+4.8</f>
        <v>2378.7000000000003</v>
      </c>
      <c r="H184" s="123">
        <v>2679</v>
      </c>
      <c r="I184" s="124"/>
      <c r="J184" s="124"/>
      <c r="K184" s="124"/>
      <c r="L184" s="124"/>
      <c r="M184" s="124"/>
      <c r="N184" s="124"/>
      <c r="O184" s="124"/>
      <c r="P184" s="123">
        <v>168</v>
      </c>
      <c r="Q184" s="123">
        <f>588.7-409.6</f>
        <v>179.10000000000002</v>
      </c>
      <c r="R184" s="123">
        <v>224.9</v>
      </c>
      <c r="S184" s="123">
        <v>181.7</v>
      </c>
      <c r="T184" s="125">
        <f t="shared" ref="T184:AE184" si="448">T185-T183</f>
        <v>285.2</v>
      </c>
      <c r="U184" s="125">
        <f t="shared" si="448"/>
        <v>349.49999999999994</v>
      </c>
      <c r="V184" s="125">
        <f>V185-V183</f>
        <v>369.50000000000006</v>
      </c>
      <c r="W184" s="122">
        <f>W185-W183</f>
        <v>370.6</v>
      </c>
      <c r="X184" s="125">
        <f t="shared" si="448"/>
        <v>442.70000000000005</v>
      </c>
      <c r="Y184" s="125">
        <f t="shared" si="448"/>
        <v>587.19999999999993</v>
      </c>
      <c r="Z184" s="125">
        <f t="shared" si="448"/>
        <v>571.70000000000005</v>
      </c>
      <c r="AA184" s="125">
        <f t="shared" si="448"/>
        <v>568.20000000000005</v>
      </c>
      <c r="AB184" s="125">
        <f t="shared" si="448"/>
        <v>531.30000000000007</v>
      </c>
      <c r="AC184" s="125">
        <f t="shared" si="448"/>
        <v>707.59999999999991</v>
      </c>
      <c r="AD184" s="125">
        <f t="shared" si="448"/>
        <v>687.40000000000009</v>
      </c>
      <c r="AE184" s="125">
        <f t="shared" si="448"/>
        <v>645.0999999999998</v>
      </c>
      <c r="AF184" s="125">
        <f>AF185-AF183</f>
        <v>662.40000000000009</v>
      </c>
      <c r="AG184" s="125">
        <f t="shared" ref="AG184:AJ184" si="449">AG185-AG183</f>
        <v>686.6</v>
      </c>
      <c r="AH184" s="125">
        <f t="shared" si="449"/>
        <v>492</v>
      </c>
      <c r="AI184" s="125">
        <f t="shared" si="449"/>
        <v>412.64799999999997</v>
      </c>
      <c r="AJ184" s="125">
        <f t="shared" si="449"/>
        <v>532.20000000000005</v>
      </c>
    </row>
    <row r="185" spans="1:37" s="17" customFormat="1" outlineLevel="1" x14ac:dyDescent="0.25">
      <c r="A185" s="17" t="s">
        <v>171</v>
      </c>
      <c r="B185" s="60"/>
      <c r="C185" s="60"/>
      <c r="D185" s="60">
        <f>SUM(D183:D184)</f>
        <v>1102.9000000000001</v>
      </c>
      <c r="E185" s="60">
        <f>SUM(E183:E184)</f>
        <v>2305.3000000000002</v>
      </c>
      <c r="F185" s="60">
        <f>SUM(F183:F184)</f>
        <v>4045.5</v>
      </c>
      <c r="G185" s="60">
        <f>SUM(G183:G184)</f>
        <v>6209.9</v>
      </c>
      <c r="H185" s="64">
        <f>SUM(H183:H184)</f>
        <v>6489.3</v>
      </c>
      <c r="I185" s="126"/>
      <c r="J185" s="126"/>
      <c r="K185" s="126"/>
      <c r="L185" s="126"/>
      <c r="M185" s="126"/>
      <c r="N185" s="126"/>
      <c r="O185" s="126"/>
      <c r="P185" s="60">
        <f t="shared" ref="P185:AJ185" si="450">P7</f>
        <v>304.89999999999998</v>
      </c>
      <c r="Q185" s="60">
        <f t="shared" si="450"/>
        <v>352.50000000000011</v>
      </c>
      <c r="R185" s="60">
        <f t="shared" si="450"/>
        <v>507.6</v>
      </c>
      <c r="S185" s="60">
        <f t="shared" si="450"/>
        <v>485.8</v>
      </c>
      <c r="T185" s="60">
        <f t="shared" si="450"/>
        <v>582.5</v>
      </c>
      <c r="U185" s="60">
        <f t="shared" si="450"/>
        <v>729.3</v>
      </c>
      <c r="V185" s="60">
        <f t="shared" si="450"/>
        <v>778.2</v>
      </c>
      <c r="W185" s="60">
        <f t="shared" si="450"/>
        <v>881</v>
      </c>
      <c r="X185" s="60">
        <f t="shared" si="450"/>
        <v>1072.4000000000001</v>
      </c>
      <c r="Y185" s="60">
        <f t="shared" si="450"/>
        <v>1313.6</v>
      </c>
      <c r="Z185" s="60">
        <f t="shared" si="450"/>
        <v>1402.2</v>
      </c>
      <c r="AA185" s="60">
        <f t="shared" si="450"/>
        <v>1465.4</v>
      </c>
      <c r="AB185" s="60">
        <f t="shared" si="450"/>
        <v>1544.2</v>
      </c>
      <c r="AC185" s="60">
        <f t="shared" si="450"/>
        <v>1729</v>
      </c>
      <c r="AD185" s="60">
        <f t="shared" si="450"/>
        <v>1786.6</v>
      </c>
      <c r="AE185" s="60">
        <f t="shared" si="450"/>
        <v>1616.3999999999999</v>
      </c>
      <c r="AF185" s="60">
        <f t="shared" si="450"/>
        <v>1540.2</v>
      </c>
      <c r="AG185" s="60">
        <f t="shared" si="450"/>
        <v>1548.5</v>
      </c>
      <c r="AH185" s="60">
        <f t="shared" si="450"/>
        <v>1278.5</v>
      </c>
      <c r="AI185" s="60">
        <f t="shared" si="450"/>
        <v>912.44799999999998</v>
      </c>
      <c r="AJ185" s="60">
        <f t="shared" si="450"/>
        <v>930.2</v>
      </c>
      <c r="AK185" s="64"/>
    </row>
    <row r="186" spans="1:37" outlineLevel="1" x14ac:dyDescent="0.25">
      <c r="A186" s="146" t="s">
        <v>130</v>
      </c>
      <c r="B186" s="25"/>
      <c r="C186" s="25"/>
      <c r="D186" s="25"/>
      <c r="E186" s="25">
        <f t="shared" ref="E186:H190" si="451">E181/D181-1</f>
        <v>0.97728579643473257</v>
      </c>
      <c r="F186" s="25">
        <f t="shared" si="451"/>
        <v>0.5654704846409504</v>
      </c>
      <c r="G186" s="25">
        <f>G181/F181-1</f>
        <v>0.49721516747965211</v>
      </c>
      <c r="H186" s="25">
        <f t="shared" si="451"/>
        <v>3.5617170938225362E-2</v>
      </c>
      <c r="I186" s="50"/>
      <c r="J186" s="25"/>
      <c r="K186" s="25"/>
      <c r="L186" s="25"/>
      <c r="M186" s="25"/>
      <c r="N186" s="25"/>
      <c r="O186" s="25"/>
      <c r="P186" s="25"/>
      <c r="Q186" s="25"/>
      <c r="R186" s="25"/>
      <c r="S186" s="25"/>
      <c r="T186" s="25">
        <f>T181/P181-1</f>
        <v>0.65240083507306901</v>
      </c>
      <c r="U186" s="25">
        <f t="shared" ref="U186:V190" si="452">U181/Q181-1</f>
        <v>0.82818181818181835</v>
      </c>
      <c r="V186" s="25">
        <f t="shared" si="452"/>
        <v>0.27157079646017701</v>
      </c>
      <c r="W186" s="25">
        <f>W181/S181-1</f>
        <v>0.49532956685499041</v>
      </c>
      <c r="X186" s="25">
        <f t="shared" ref="X186:AF190" si="453">X181/T181-1</f>
        <v>0.75939950206235385</v>
      </c>
      <c r="Y186" s="25">
        <f t="shared" si="453"/>
        <v>0.72799602187966173</v>
      </c>
      <c r="Z186" s="25">
        <f t="shared" si="453"/>
        <v>0.60363636363636353</v>
      </c>
      <c r="AA186" s="25">
        <f t="shared" si="453"/>
        <v>0.70243066925266406</v>
      </c>
      <c r="AB186" s="25">
        <f t="shared" si="453"/>
        <v>0.4932232529061904</v>
      </c>
      <c r="AC186" s="25">
        <f t="shared" si="453"/>
        <v>0.10105035971223031</v>
      </c>
      <c r="AD186" s="25">
        <f t="shared" si="453"/>
        <v>0.2176002777506536</v>
      </c>
      <c r="AE186" s="25">
        <f t="shared" si="453"/>
        <v>5.4888279315028488E-2</v>
      </c>
      <c r="AF186" s="25">
        <f t="shared" si="453"/>
        <v>-4.4200037510639945E-2</v>
      </c>
      <c r="AG186" s="25">
        <f>AG181/AC181-1</f>
        <v>0.11514969355618576</v>
      </c>
      <c r="AH186" s="25">
        <f>AH181/AD181-1</f>
        <v>-5.6137224326130553E-2</v>
      </c>
      <c r="AI186" s="25">
        <f>AI181/AE181-1</f>
        <v>-6.3367836404948252E-2</v>
      </c>
      <c r="AJ186" s="25">
        <f>AJ181/AF181-1</f>
        <v>-0.16553459119496861</v>
      </c>
      <c r="AK186" s="25"/>
    </row>
    <row r="187" spans="1:37" outlineLevel="1" x14ac:dyDescent="0.25">
      <c r="A187" s="146" t="s">
        <v>131</v>
      </c>
      <c r="B187" s="25"/>
      <c r="C187" s="25"/>
      <c r="D187" s="25"/>
      <c r="E187" s="25">
        <f t="shared" si="451"/>
        <v>3.668449197860963</v>
      </c>
      <c r="F187" s="25">
        <f t="shared" si="451"/>
        <v>1.2885184186949572</v>
      </c>
      <c r="G187" s="25">
        <f>G182/F182-1</f>
        <v>0.85141316431437808</v>
      </c>
      <c r="H187" s="25">
        <f t="shared" si="451"/>
        <v>-3.5285312685725656E-2</v>
      </c>
      <c r="I187" s="255"/>
      <c r="J187" s="25"/>
      <c r="K187" s="25"/>
      <c r="L187" s="25"/>
      <c r="M187" s="25"/>
      <c r="N187" s="25"/>
      <c r="O187" s="25"/>
      <c r="P187" s="25"/>
      <c r="Q187" s="25"/>
      <c r="R187" s="25"/>
      <c r="S187" s="25"/>
      <c r="T187" s="25">
        <f>T182/P182-1</f>
        <v>2.3819951338199528</v>
      </c>
      <c r="U187" s="25">
        <f t="shared" si="452"/>
        <v>1.8186119873816993</v>
      </c>
      <c r="V187" s="25">
        <f t="shared" si="452"/>
        <v>0.75466143277723186</v>
      </c>
      <c r="W187" s="25">
        <f>W182/S182-1</f>
        <v>0.85082304526748964</v>
      </c>
      <c r="X187" s="25">
        <f t="shared" si="453"/>
        <v>1.526525603046974</v>
      </c>
      <c r="Y187" s="25">
        <f t="shared" si="453"/>
        <v>1.1203133743704532</v>
      </c>
      <c r="Z187" s="25">
        <f>Z182/V182-1</f>
        <v>1.5829082774049219</v>
      </c>
      <c r="AA187" s="39">
        <v>0.8</v>
      </c>
      <c r="AB187" s="39">
        <v>0.7</v>
      </c>
      <c r="AC187" s="25">
        <f t="shared" si="453"/>
        <v>0.6858933755608343</v>
      </c>
      <c r="AD187" s="25">
        <f t="shared" si="453"/>
        <v>0.40811218126385795</v>
      </c>
      <c r="AE187" s="25">
        <f t="shared" si="453"/>
        <v>0.10252822449253407</v>
      </c>
      <c r="AF187" s="25">
        <f t="shared" si="453"/>
        <v>-0.19550164316653773</v>
      </c>
      <c r="AG187" s="25">
        <f>AG182/AC182-1</f>
        <v>-0.31866433933170013</v>
      </c>
      <c r="AH187" s="25">
        <f t="shared" ref="AH187:AJ190" si="454">AH182/AD182-1</f>
        <v>-0.44210364447178219</v>
      </c>
      <c r="AI187" s="25">
        <f t="shared" si="454"/>
        <v>-0.7760778859527121</v>
      </c>
      <c r="AJ187" s="25">
        <f t="shared" si="454"/>
        <v>-0.86196127420362278</v>
      </c>
      <c r="AK187" s="25"/>
    </row>
    <row r="188" spans="1:37" outlineLevel="1" x14ac:dyDescent="0.25">
      <c r="A188" s="113" t="s">
        <v>132</v>
      </c>
      <c r="B188" s="25"/>
      <c r="C188" s="25"/>
      <c r="D188" s="25"/>
      <c r="E188" s="25">
        <f t="shared" si="451"/>
        <v>1.633695652173913</v>
      </c>
      <c r="F188" s="25">
        <f t="shared" si="451"/>
        <v>0.87808501857201837</v>
      </c>
      <c r="G188" s="25">
        <f>G183/F183-1</f>
        <v>0.6838219135938115</v>
      </c>
      <c r="H188" s="25">
        <f t="shared" si="451"/>
        <v>-5.4552098559197404E-3</v>
      </c>
      <c r="I188" s="50"/>
      <c r="J188" s="25"/>
      <c r="K188" s="25"/>
      <c r="L188" s="25"/>
      <c r="M188" s="25"/>
      <c r="N188" s="25"/>
      <c r="O188" s="25"/>
      <c r="P188" s="25"/>
      <c r="Q188" s="25"/>
      <c r="R188" s="25"/>
      <c r="S188" s="25"/>
      <c r="T188" s="25">
        <f>T183/P183-1</f>
        <v>1.1716581446311181</v>
      </c>
      <c r="U188" s="25">
        <f t="shared" si="452"/>
        <v>1.1903114186851198</v>
      </c>
      <c r="V188" s="25">
        <f t="shared" si="452"/>
        <v>0.44570215776441424</v>
      </c>
      <c r="W188" s="25">
        <f>W183/S183-1</f>
        <v>0.678395264715554</v>
      </c>
      <c r="X188" s="25">
        <f t="shared" si="453"/>
        <v>1.1180625630676087</v>
      </c>
      <c r="Y188" s="25">
        <f t="shared" si="453"/>
        <v>0.91258557135334373</v>
      </c>
      <c r="Z188" s="25">
        <f t="shared" si="453"/>
        <v>1.0320528505015907</v>
      </c>
      <c r="AA188" s="25">
        <f>AA183/W183-1</f>
        <v>0.75783699059561149</v>
      </c>
      <c r="AB188" s="25">
        <f>AB183/X183-1</f>
        <v>0.60854375099253599</v>
      </c>
      <c r="AC188" s="25">
        <f>AC183/Y183-1</f>
        <v>0.40611233480176234</v>
      </c>
      <c r="AD188" s="25">
        <f t="shared" si="453"/>
        <v>0.32354003612281734</v>
      </c>
      <c r="AE188" s="25">
        <f t="shared" si="453"/>
        <v>8.2590280873829691E-2</v>
      </c>
      <c r="AF188" s="25">
        <f t="shared" si="453"/>
        <v>-0.1333794056668971</v>
      </c>
      <c r="AG188" s="25">
        <f>AG183/AC183-1</f>
        <v>-0.15615821421578235</v>
      </c>
      <c r="AH188" s="25">
        <f t="shared" si="454"/>
        <v>-0.28447962154294015</v>
      </c>
      <c r="AI188" s="25">
        <f t="shared" si="454"/>
        <v>-0.48543189539792031</v>
      </c>
      <c r="AJ188" s="25">
        <f t="shared" si="454"/>
        <v>-0.54659375712007296</v>
      </c>
      <c r="AK188" s="25"/>
    </row>
    <row r="189" spans="1:37" outlineLevel="1" x14ac:dyDescent="0.25">
      <c r="A189" s="113" t="s">
        <v>133</v>
      </c>
      <c r="B189" s="25"/>
      <c r="C189" s="25"/>
      <c r="D189" s="25"/>
      <c r="E189" s="25">
        <f t="shared" si="451"/>
        <v>0.70135324311712544</v>
      </c>
      <c r="F189" s="25">
        <f t="shared" si="451"/>
        <v>0.61839458767599198</v>
      </c>
      <c r="G189" s="25">
        <f>G184/F184-1</f>
        <v>0.34374646932550013</v>
      </c>
      <c r="H189" s="25">
        <f t="shared" si="451"/>
        <v>0.12624542817505358</v>
      </c>
      <c r="I189" s="50"/>
      <c r="J189" s="25"/>
      <c r="K189" s="25"/>
      <c r="L189" s="25"/>
      <c r="M189" s="25"/>
      <c r="N189" s="25"/>
      <c r="O189" s="25"/>
      <c r="P189" s="25"/>
      <c r="Q189" s="25"/>
      <c r="R189" s="25"/>
      <c r="S189" s="25"/>
      <c r="T189" s="25">
        <f>T184/P184-1</f>
        <v>0.69761904761904758</v>
      </c>
      <c r="U189" s="25">
        <f t="shared" si="452"/>
        <v>0.95142378559463925</v>
      </c>
      <c r="V189" s="25">
        <f t="shared" si="452"/>
        <v>0.64295242329924429</v>
      </c>
      <c r="W189" s="25">
        <f>W184/S184-1</f>
        <v>1.0396257567418825</v>
      </c>
      <c r="X189" s="25">
        <f t="shared" si="453"/>
        <v>0.55224403927068755</v>
      </c>
      <c r="Y189" s="25">
        <f t="shared" si="453"/>
        <v>0.68011444921316166</v>
      </c>
      <c r="Z189" s="25">
        <f t="shared" si="453"/>
        <v>0.54722598105548026</v>
      </c>
      <c r="AA189" s="25">
        <f t="shared" si="453"/>
        <v>0.53318942255801405</v>
      </c>
      <c r="AB189" s="25">
        <f>AB184/X184-1</f>
        <v>0.20013553196295453</v>
      </c>
      <c r="AC189" s="25">
        <f>AC184/Y184-1</f>
        <v>0.20504087193460485</v>
      </c>
      <c r="AD189" s="25">
        <f t="shared" si="453"/>
        <v>0.20237887003673261</v>
      </c>
      <c r="AE189" s="25">
        <f t="shared" si="453"/>
        <v>0.13533966913058748</v>
      </c>
      <c r="AF189" s="25">
        <f t="shared" si="453"/>
        <v>0.24675324675324672</v>
      </c>
      <c r="AG189" s="25">
        <f>AG184/AC184-1</f>
        <v>-2.9677784058790069E-2</v>
      </c>
      <c r="AH189" s="25">
        <f t="shared" si="454"/>
        <v>-0.28425952865871407</v>
      </c>
      <c r="AI189" s="25">
        <f t="shared" si="454"/>
        <v>-0.36033483180902171</v>
      </c>
      <c r="AJ189" s="25">
        <f t="shared" si="454"/>
        <v>-0.19655797101449279</v>
      </c>
      <c r="AK189" s="25"/>
    </row>
    <row r="190" spans="1:37" outlineLevel="1" x14ac:dyDescent="0.25">
      <c r="A190" s="71" t="s">
        <v>33</v>
      </c>
      <c r="B190" s="25"/>
      <c r="C190" s="25"/>
      <c r="D190" s="25"/>
      <c r="E190" s="25">
        <f t="shared" si="451"/>
        <v>1.09021670142352</v>
      </c>
      <c r="F190" s="25">
        <f t="shared" si="451"/>
        <v>0.7548692144189475</v>
      </c>
      <c r="G190" s="25">
        <f>G185/F185-1</f>
        <v>0.53501421332344568</v>
      </c>
      <c r="H190" s="25">
        <f t="shared" si="451"/>
        <v>4.4992672989903282E-2</v>
      </c>
      <c r="I190" s="50"/>
      <c r="J190" s="25"/>
      <c r="K190" s="25"/>
      <c r="L190" s="25"/>
      <c r="M190" s="25"/>
      <c r="N190" s="25"/>
      <c r="O190" s="25"/>
      <c r="P190" s="25"/>
      <c r="Q190" s="25"/>
      <c r="R190" s="25"/>
      <c r="S190" s="25"/>
      <c r="T190" s="25">
        <f>T185/P185-1</f>
        <v>0.91046244670383736</v>
      </c>
      <c r="U190" s="25">
        <f t="shared" si="452"/>
        <v>1.0689361702127651</v>
      </c>
      <c r="V190" s="25">
        <f t="shared" si="452"/>
        <v>0.53309692671394804</v>
      </c>
      <c r="W190" s="25">
        <f>W185/S185-1</f>
        <v>0.81350349938246191</v>
      </c>
      <c r="X190" s="25">
        <f t="shared" si="453"/>
        <v>0.84103004291845518</v>
      </c>
      <c r="Y190" s="25">
        <f t="shared" si="453"/>
        <v>0.80117921294391881</v>
      </c>
      <c r="Z190" s="25">
        <f t="shared" si="453"/>
        <v>0.80185042405551266</v>
      </c>
      <c r="AA190" s="25">
        <f t="shared" si="453"/>
        <v>0.66333711691259944</v>
      </c>
      <c r="AB190" s="25">
        <f t="shared" si="453"/>
        <v>0.43994778067885099</v>
      </c>
      <c r="AC190" s="25">
        <f t="shared" si="453"/>
        <v>0.31623020706455551</v>
      </c>
      <c r="AD190" s="25">
        <f t="shared" si="453"/>
        <v>0.2741406361432035</v>
      </c>
      <c r="AE190" s="25">
        <f t="shared" si="453"/>
        <v>0.10304353760065488</v>
      </c>
      <c r="AF190" s="25">
        <f t="shared" si="453"/>
        <v>-2.5903380391141262E-3</v>
      </c>
      <c r="AG190" s="25">
        <f>AG185/AC185-1</f>
        <v>-0.10439560439560436</v>
      </c>
      <c r="AH190" s="25">
        <f t="shared" si="454"/>
        <v>-0.28439494010970556</v>
      </c>
      <c r="AI190" s="25">
        <f t="shared" si="454"/>
        <v>-0.43550606285572879</v>
      </c>
      <c r="AJ190" s="25">
        <f t="shared" si="454"/>
        <v>-0.39605246071938704</v>
      </c>
      <c r="AK190" s="25"/>
    </row>
    <row r="191" spans="1:37" x14ac:dyDescent="0.25">
      <c r="A191" s="71"/>
      <c r="B191" s="25"/>
      <c r="C191" s="25"/>
      <c r="D191" s="25"/>
      <c r="E191" s="25"/>
      <c r="F191" s="25"/>
      <c r="G191" s="25"/>
      <c r="H191" s="25"/>
      <c r="I191" s="50"/>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row>
    <row r="192" spans="1:37" s="332" customFormat="1" x14ac:dyDescent="0.25">
      <c r="A192" s="331" t="s">
        <v>305</v>
      </c>
      <c r="B192" s="332">
        <f>B178/B168</f>
        <v>4.5497632794292524E-3</v>
      </c>
      <c r="C192" s="332">
        <f t="shared" ref="C192:AJ192" si="455">C178/C168</f>
        <v>7.8692201021159699E-3</v>
      </c>
      <c r="D192" s="332">
        <f t="shared" si="455"/>
        <v>1.0455310261735629E-2</v>
      </c>
      <c r="E192" s="332">
        <f t="shared" si="455"/>
        <v>1.7132116304077405E-2</v>
      </c>
      <c r="F192" s="332">
        <f t="shared" si="455"/>
        <v>2.2387720606553075E-2</v>
      </c>
      <c r="G192" s="332">
        <f t="shared" si="455"/>
        <v>2.9772278430608378E-2</v>
      </c>
      <c r="H192" s="332">
        <f t="shared" si="455"/>
        <v>3.3751767528634888E-2</v>
      </c>
      <c r="J192" s="332">
        <f t="shared" si="455"/>
        <v>6.3744238501520049E-3</v>
      </c>
      <c r="K192" s="332">
        <f t="shared" si="455"/>
        <v>6.4423996224116436E-3</v>
      </c>
      <c r="L192" s="332">
        <f t="shared" si="455"/>
        <v>9.9272096053006718E-3</v>
      </c>
      <c r="M192" s="332">
        <f t="shared" si="455"/>
        <v>7.9819703772850414E-3</v>
      </c>
      <c r="N192" s="332">
        <f t="shared" si="455"/>
        <v>8.8354739461861728E-3</v>
      </c>
      <c r="O192" s="332">
        <f t="shared" si="455"/>
        <v>8.6763004200340766E-3</v>
      </c>
      <c r="P192" s="332">
        <f t="shared" si="455"/>
        <v>1.2480726898672179E-2</v>
      </c>
      <c r="Q192" s="332">
        <f t="shared" si="455"/>
        <v>1.1482198465966046E-2</v>
      </c>
      <c r="R192" s="332">
        <f t="shared" si="455"/>
        <v>2.0103936791572286E-2</v>
      </c>
      <c r="S192" s="332">
        <f t="shared" si="455"/>
        <v>1.3278990655496198E-2</v>
      </c>
      <c r="T192" s="332">
        <f t="shared" si="455"/>
        <v>1.8696916187314727E-2</v>
      </c>
      <c r="U192" s="332">
        <f t="shared" si="455"/>
        <v>1.7480649896577036E-2</v>
      </c>
      <c r="V192" s="332">
        <f t="shared" si="455"/>
        <v>2.149247385178377E-2</v>
      </c>
      <c r="W192" s="332">
        <f t="shared" si="455"/>
        <v>1.8391302451308881E-2</v>
      </c>
      <c r="X192" s="332">
        <f t="shared" si="455"/>
        <v>2.5517889778811642E-2</v>
      </c>
      <c r="Y192" s="332">
        <f t="shared" si="455"/>
        <v>2.4098048839530255E-2</v>
      </c>
      <c r="Z192" s="332">
        <f t="shared" si="455"/>
        <v>3.029676672574786E-2</v>
      </c>
      <c r="AA192" s="332">
        <f t="shared" si="455"/>
        <v>2.7344052064018878E-2</v>
      </c>
      <c r="AB192" s="332">
        <f t="shared" si="455"/>
        <v>3.2153360334160823E-2</v>
      </c>
      <c r="AC192" s="332">
        <f t="shared" si="455"/>
        <v>2.9626814987837126E-2</v>
      </c>
      <c r="AD192" s="332">
        <f t="shared" si="455"/>
        <v>3.7706704232373607E-2</v>
      </c>
      <c r="AE192" s="332">
        <f t="shared" si="455"/>
        <v>3.1726424919930808E-2</v>
      </c>
      <c r="AF192" s="332">
        <f t="shared" si="455"/>
        <v>3.6330800626618372E-2</v>
      </c>
      <c r="AG192" s="332">
        <f t="shared" si="455"/>
        <v>3.0412576091972059E-2</v>
      </c>
      <c r="AH192" s="332">
        <f t="shared" si="455"/>
        <v>3.4432203447880172E-2</v>
      </c>
      <c r="AI192" s="332">
        <f t="shared" si="455"/>
        <v>3.0288109820026499E-2</v>
      </c>
      <c r="AJ192" s="332">
        <f t="shared" si="455"/>
        <v>2.8679964080193018E-2</v>
      </c>
    </row>
    <row r="193" spans="1:37" x14ac:dyDescent="0.25">
      <c r="A193" s="71"/>
      <c r="B193" s="112"/>
      <c r="C193" s="112"/>
      <c r="D193" s="112"/>
      <c r="E193" s="112"/>
      <c r="F193" s="112"/>
      <c r="G193" s="112"/>
      <c r="H193" s="112"/>
      <c r="I193" s="50"/>
      <c r="J193" s="25"/>
      <c r="K193" s="25"/>
      <c r="L193" s="25"/>
      <c r="M193" s="25"/>
      <c r="N193" s="25"/>
      <c r="O193" s="25"/>
      <c r="P193" s="25"/>
      <c r="Q193" s="25"/>
      <c r="R193" s="25"/>
      <c r="S193" s="25"/>
      <c r="T193" s="25"/>
      <c r="U193" s="25"/>
      <c r="V193" s="25"/>
      <c r="W193" s="25"/>
      <c r="X193" s="25"/>
      <c r="Y193" s="25"/>
      <c r="Z193" s="25"/>
      <c r="AA193" s="50"/>
      <c r="AB193" s="50"/>
      <c r="AC193" s="50"/>
      <c r="AD193" s="50"/>
      <c r="AE193" s="50"/>
      <c r="AF193" s="50"/>
      <c r="AG193" s="50"/>
      <c r="AH193" s="50"/>
      <c r="AI193" s="50"/>
      <c r="AJ193" s="50"/>
    </row>
    <row r="194" spans="1:37" s="255" customFormat="1" x14ac:dyDescent="0.25">
      <c r="A194" s="266" t="s">
        <v>134</v>
      </c>
      <c r="B194" s="38"/>
      <c r="C194" s="38"/>
      <c r="D194" s="38">
        <f t="shared" ref="D194:H198" si="456">D181/D$178</f>
        <v>2.8496517820565344E-2</v>
      </c>
      <c r="E194" s="38">
        <f t="shared" si="456"/>
        <v>2.7222706040693535E-2</v>
      </c>
      <c r="F194" s="38">
        <f t="shared" si="456"/>
        <v>2.4978516294375447E-2</v>
      </c>
      <c r="G194" s="38">
        <f t="shared" si="456"/>
        <v>2.5463870458135852E-2</v>
      </c>
      <c r="H194" s="38">
        <f t="shared" si="456"/>
        <v>2.2742138964577659E-2</v>
      </c>
      <c r="J194" s="38"/>
      <c r="K194" s="38"/>
      <c r="L194" s="38"/>
      <c r="M194" s="38"/>
      <c r="N194" s="38"/>
      <c r="O194" s="38"/>
      <c r="P194" s="38">
        <f t="shared" ref="P194:X194" si="457">P181/P$178</f>
        <v>2.8168185827697735E-2</v>
      </c>
      <c r="Q194" s="38">
        <f t="shared" si="457"/>
        <v>2.6835813613076361E-2</v>
      </c>
      <c r="R194" s="38">
        <f t="shared" si="457"/>
        <v>3.2506292700467461E-2</v>
      </c>
      <c r="S194" s="38">
        <f t="shared" si="457"/>
        <v>2.8164979950353254E-2</v>
      </c>
      <c r="T194" s="38">
        <f t="shared" si="457"/>
        <v>2.4730510857678488E-2</v>
      </c>
      <c r="U194" s="38">
        <f t="shared" si="457"/>
        <v>2.4947277012777574E-2</v>
      </c>
      <c r="V194" s="38">
        <f t="shared" si="457"/>
        <v>2.7252252252252251E-2</v>
      </c>
      <c r="W194" s="38">
        <f t="shared" si="457"/>
        <v>2.3434032204750432E-2</v>
      </c>
      <c r="X194" s="38">
        <f t="shared" si="457"/>
        <v>2.4577562758248378E-2</v>
      </c>
      <c r="Y194" s="142">
        <v>2.5000000000000001E-2</v>
      </c>
      <c r="Z194" s="38">
        <f t="shared" ref="Z194:AF194" si="458">Z181/Z$178</f>
        <v>2.5545731707317072E-2</v>
      </c>
      <c r="AA194" s="38">
        <f t="shared" si="458"/>
        <v>2.5190527304441164E-2</v>
      </c>
      <c r="AB194" s="38">
        <f t="shared" si="458"/>
        <v>2.6470752975622173E-2</v>
      </c>
      <c r="AC194" s="38">
        <f t="shared" si="458"/>
        <v>2.0964056764012931E-2</v>
      </c>
      <c r="AD194" s="38">
        <f t="shared" si="458"/>
        <v>2.4354383680555553E-2</v>
      </c>
      <c r="AE194" s="38">
        <f t="shared" si="458"/>
        <v>2.1520156470716072E-2</v>
      </c>
      <c r="AF194" s="38">
        <f t="shared" si="458"/>
        <v>2.2069846205096885E-2</v>
      </c>
      <c r="AG194" s="142">
        <v>2.3E-2</v>
      </c>
      <c r="AH194" s="38">
        <f t="shared" ref="AH194:AJ198" si="459">AH181/AH$178</f>
        <v>2.4354383680555553E-2</v>
      </c>
      <c r="AI194" s="38">
        <f t="shared" si="459"/>
        <v>2.0611111111111111E-2</v>
      </c>
      <c r="AJ194" s="38">
        <f t="shared" si="459"/>
        <v>2.2069846205096885E-2</v>
      </c>
    </row>
    <row r="195" spans="1:37" s="255" customFormat="1" x14ac:dyDescent="0.25">
      <c r="A195" s="266" t="s">
        <v>135</v>
      </c>
      <c r="B195" s="38"/>
      <c r="C195" s="38"/>
      <c r="D195" s="38">
        <f t="shared" si="456"/>
        <v>9.1929537074969259E-3</v>
      </c>
      <c r="E195" s="38">
        <f t="shared" si="456"/>
        <v>2.0734700340432267E-2</v>
      </c>
      <c r="F195" s="38">
        <f t="shared" si="456"/>
        <v>2.7812667000288133E-2</v>
      </c>
      <c r="G195" s="38">
        <f t="shared" si="456"/>
        <v>3.5060616113744079E-2</v>
      </c>
      <c r="H195" s="38">
        <f t="shared" si="456"/>
        <v>2.9169305177111717E-2</v>
      </c>
      <c r="J195" s="38"/>
      <c r="K195" s="38"/>
      <c r="L195" s="38"/>
      <c r="M195" s="38"/>
      <c r="N195" s="38"/>
      <c r="O195" s="38"/>
      <c r="P195" s="38">
        <f t="shared" ref="P195:X195" si="460">P182/P$178</f>
        <v>1.208468097618347E-2</v>
      </c>
      <c r="Q195" s="38">
        <f t="shared" si="460"/>
        <v>1.5467187118809489E-2</v>
      </c>
      <c r="R195" s="38">
        <f t="shared" si="460"/>
        <v>1.8320747932398424E-2</v>
      </c>
      <c r="S195" s="38">
        <f t="shared" si="460"/>
        <v>2.9902616001527597E-2</v>
      </c>
      <c r="T195" s="38">
        <f t="shared" si="460"/>
        <v>2.1715356975472583E-2</v>
      </c>
      <c r="U195" s="38">
        <f t="shared" si="460"/>
        <v>2.2168465450936606E-2</v>
      </c>
      <c r="V195" s="38">
        <f t="shared" si="460"/>
        <v>2.1194879089615929E-2</v>
      </c>
      <c r="W195" s="38">
        <f t="shared" si="460"/>
        <v>3.0794612079142466E-2</v>
      </c>
      <c r="X195" s="38">
        <f t="shared" si="460"/>
        <v>3.0990739394946117E-2</v>
      </c>
      <c r="Y195" s="38">
        <f>Y182/Y$178</f>
        <v>2.7258992805755396E-2</v>
      </c>
      <c r="Z195" s="116">
        <v>3.2000000000000001E-2</v>
      </c>
      <c r="AA195" s="116">
        <v>3.5000000000000003E-2</v>
      </c>
      <c r="AB195" s="116">
        <v>3.7999999999999999E-2</v>
      </c>
      <c r="AC195" s="116">
        <v>3.5000000000000003E-2</v>
      </c>
      <c r="AD195" s="38">
        <f t="shared" ref="AD195:AG198" si="461">AD182/AD$178</f>
        <v>3.5281032986111106E-2</v>
      </c>
      <c r="AE195" s="38">
        <f t="shared" si="461"/>
        <v>3.125067912637184E-2</v>
      </c>
      <c r="AF195" s="38">
        <f t="shared" si="461"/>
        <v>2.6667036810837822E-2</v>
      </c>
      <c r="AG195" s="38">
        <f t="shared" si="461"/>
        <v>2.3461107217939734E-2</v>
      </c>
      <c r="AH195" s="115">
        <f t="shared" si="459"/>
        <v>2.0853836203222929E-2</v>
      </c>
      <c r="AI195" s="115">
        <f t="shared" si="459"/>
        <v>7.1555555555555565E-3</v>
      </c>
      <c r="AJ195" s="115">
        <f t="shared" si="459"/>
        <v>4.4113078185044428E-3</v>
      </c>
    </row>
    <row r="196" spans="1:37" s="255" customFormat="1" x14ac:dyDescent="0.25">
      <c r="A196" s="267" t="s">
        <v>136</v>
      </c>
      <c r="B196" s="38"/>
      <c r="C196" s="38"/>
      <c r="D196" s="38">
        <f t="shared" si="456"/>
        <v>3.768947152806227E-2</v>
      </c>
      <c r="E196" s="38">
        <f t="shared" si="456"/>
        <v>4.7957406381125799E-2</v>
      </c>
      <c r="F196" s="38">
        <f t="shared" si="456"/>
        <v>5.2791183294663577E-2</v>
      </c>
      <c r="G196" s="38">
        <f t="shared" si="456"/>
        <v>6.0524486571879935E-2</v>
      </c>
      <c r="H196" s="38">
        <f t="shared" si="456"/>
        <v>5.1911444141689377E-2</v>
      </c>
      <c r="J196" s="38"/>
      <c r="K196" s="38"/>
      <c r="L196" s="38"/>
      <c r="M196" s="38"/>
      <c r="N196" s="38"/>
      <c r="O196" s="38"/>
      <c r="P196" s="115">
        <f t="shared" ref="P196:X196" si="462">P183/P$178</f>
        <v>4.0252866803881203E-2</v>
      </c>
      <c r="Q196" s="115">
        <f t="shared" si="462"/>
        <v>4.2303000731885851E-2</v>
      </c>
      <c r="R196" s="115">
        <f t="shared" si="462"/>
        <v>5.0827040632865882E-2</v>
      </c>
      <c r="S196" s="115">
        <f t="shared" si="462"/>
        <v>5.8067595951880852E-2</v>
      </c>
      <c r="T196" s="115">
        <f t="shared" si="462"/>
        <v>4.6445867833151071E-2</v>
      </c>
      <c r="U196" s="115">
        <f t="shared" si="462"/>
        <v>4.711574246371418E-2</v>
      </c>
      <c r="V196" s="115">
        <f t="shared" si="462"/>
        <v>4.8447131341868184E-2</v>
      </c>
      <c r="W196" s="115">
        <f t="shared" si="462"/>
        <v>5.4228644283892902E-2</v>
      </c>
      <c r="X196" s="115">
        <f t="shared" si="462"/>
        <v>5.5568302153194499E-2</v>
      </c>
      <c r="Y196" s="115">
        <f>Y183/Y$178</f>
        <v>5.2258992805755397E-2</v>
      </c>
      <c r="Z196" s="115">
        <f t="shared" ref="Z196:AC198" si="463">Z183/Z$178</f>
        <v>5.7545731707317076E-2</v>
      </c>
      <c r="AA196" s="38">
        <f t="shared" si="463"/>
        <v>6.0190527304441167E-2</v>
      </c>
      <c r="AB196" s="115">
        <f t="shared" si="463"/>
        <v>6.4470752975622173E-2</v>
      </c>
      <c r="AC196" s="115">
        <f t="shared" si="463"/>
        <v>5.5964056764012934E-2</v>
      </c>
      <c r="AD196" s="115">
        <f t="shared" si="461"/>
        <v>5.9635416666666656E-2</v>
      </c>
      <c r="AE196" s="115">
        <f t="shared" si="461"/>
        <v>5.2770835597087909E-2</v>
      </c>
      <c r="AF196" s="115">
        <f t="shared" si="461"/>
        <v>4.8736883015934707E-2</v>
      </c>
      <c r="AG196" s="38">
        <f t="shared" si="461"/>
        <v>4.646110721793973E-2</v>
      </c>
      <c r="AH196" s="115">
        <f t="shared" si="459"/>
        <v>4.5208219883778482E-2</v>
      </c>
      <c r="AI196" s="115">
        <f t="shared" si="459"/>
        <v>2.7766666666666669E-2</v>
      </c>
      <c r="AJ196" s="115">
        <f t="shared" si="459"/>
        <v>2.6481154023601329E-2</v>
      </c>
    </row>
    <row r="197" spans="1:37" s="256" customFormat="1" x14ac:dyDescent="0.25">
      <c r="A197" s="268" t="s">
        <v>137</v>
      </c>
      <c r="B197" s="127"/>
      <c r="C197" s="127"/>
      <c r="D197" s="127">
        <f t="shared" si="456"/>
        <v>5.2675133142154849E-2</v>
      </c>
      <c r="E197" s="127">
        <f t="shared" si="456"/>
        <v>4.3298234502414691E-2</v>
      </c>
      <c r="F197" s="127">
        <f t="shared" si="456"/>
        <v>4.1071925754060323E-2</v>
      </c>
      <c r="G197" s="127">
        <f t="shared" si="456"/>
        <v>3.7578199052132708E-2</v>
      </c>
      <c r="H197" s="127">
        <f t="shared" si="456"/>
        <v>3.6498637602179834E-2</v>
      </c>
      <c r="J197" s="127"/>
      <c r="K197" s="127"/>
      <c r="L197" s="127"/>
      <c r="M197" s="127"/>
      <c r="N197" s="127"/>
      <c r="O197" s="127"/>
      <c r="P197" s="128">
        <f t="shared" ref="P197:X197" si="464">P184/P$178</f>
        <v>4.9397236107027342E-2</v>
      </c>
      <c r="Q197" s="128">
        <f t="shared" si="464"/>
        <v>4.3693583800927062E-2</v>
      </c>
      <c r="R197" s="128">
        <f t="shared" si="464"/>
        <v>4.0435095289464221E-2</v>
      </c>
      <c r="S197" s="128">
        <f t="shared" si="464"/>
        <v>3.4695436318502956E-2</v>
      </c>
      <c r="T197" s="128">
        <f t="shared" si="464"/>
        <v>4.4555538197156692E-2</v>
      </c>
      <c r="U197" s="128">
        <f t="shared" si="464"/>
        <v>4.3356903609973942E-2</v>
      </c>
      <c r="V197" s="128">
        <f t="shared" si="464"/>
        <v>4.3800379326695123E-2</v>
      </c>
      <c r="W197" s="128">
        <f t="shared" si="464"/>
        <v>3.9375265618359544E-2</v>
      </c>
      <c r="X197" s="128">
        <f t="shared" si="464"/>
        <v>3.9066360748323335E-2</v>
      </c>
      <c r="Y197" s="128">
        <f>Y184/Y$178</f>
        <v>4.2244604316546759E-2</v>
      </c>
      <c r="Z197" s="128">
        <f t="shared" si="463"/>
        <v>3.9613359201773841E-2</v>
      </c>
      <c r="AA197" s="128">
        <f t="shared" si="463"/>
        <v>3.8118878304038643E-2</v>
      </c>
      <c r="AB197" s="128">
        <f t="shared" si="463"/>
        <v>3.381707084208517E-2</v>
      </c>
      <c r="AC197" s="128">
        <f t="shared" si="463"/>
        <v>3.8770478329954519E-2</v>
      </c>
      <c r="AD197" s="128">
        <f t="shared" si="461"/>
        <v>3.7293836805555564E-2</v>
      </c>
      <c r="AE197" s="128">
        <f t="shared" si="461"/>
        <v>3.504835379767466E-2</v>
      </c>
      <c r="AF197" s="128">
        <f t="shared" si="461"/>
        <v>3.6777524845927494E-2</v>
      </c>
      <c r="AG197" s="127">
        <f t="shared" si="461"/>
        <v>3.7011481860816133E-2</v>
      </c>
      <c r="AH197" s="128">
        <f t="shared" si="459"/>
        <v>2.8280285038549284E-2</v>
      </c>
      <c r="AI197" s="128">
        <f t="shared" si="459"/>
        <v>2.2924888888888887E-2</v>
      </c>
      <c r="AJ197" s="128">
        <f t="shared" si="459"/>
        <v>3.5410226561207611E-2</v>
      </c>
    </row>
    <row r="198" spans="1:37" s="61" customFormat="1" x14ac:dyDescent="0.25">
      <c r="A198" s="61" t="s">
        <v>172</v>
      </c>
      <c r="B198" s="62"/>
      <c r="C198" s="62"/>
      <c r="D198" s="62">
        <f t="shared" si="456"/>
        <v>9.0364604670217133E-2</v>
      </c>
      <c r="E198" s="62">
        <f t="shared" si="456"/>
        <v>9.1255640883540504E-2</v>
      </c>
      <c r="F198" s="62">
        <f t="shared" si="456"/>
        <v>9.38631090487239E-2</v>
      </c>
      <c r="G198" s="62">
        <f t="shared" si="456"/>
        <v>9.8102685624012628E-2</v>
      </c>
      <c r="H198" s="62">
        <f t="shared" si="456"/>
        <v>8.8410081743869218E-2</v>
      </c>
      <c r="J198" s="62"/>
      <c r="K198" s="62"/>
      <c r="L198" s="62"/>
      <c r="M198" s="62"/>
      <c r="N198" s="62"/>
      <c r="O198" s="62"/>
      <c r="P198" s="63">
        <f t="shared" ref="P198:X198" si="465">P185/P$178</f>
        <v>8.9650102910908552E-2</v>
      </c>
      <c r="Q198" s="63">
        <f t="shared" si="465"/>
        <v>8.5996584532812906E-2</v>
      </c>
      <c r="R198" s="63">
        <f t="shared" si="465"/>
        <v>9.1262135922330095E-2</v>
      </c>
      <c r="S198" s="63">
        <f t="shared" si="465"/>
        <v>9.2763032270383808E-2</v>
      </c>
      <c r="T198" s="63">
        <f t="shared" si="465"/>
        <v>9.1001406030307763E-2</v>
      </c>
      <c r="U198" s="63">
        <f t="shared" si="465"/>
        <v>9.0472646073688129E-2</v>
      </c>
      <c r="V198" s="63">
        <f t="shared" si="465"/>
        <v>9.2247510668563307E-2</v>
      </c>
      <c r="W198" s="63">
        <f t="shared" si="465"/>
        <v>9.3603909902252438E-2</v>
      </c>
      <c r="X198" s="63">
        <f t="shared" si="465"/>
        <v>9.4634662901517827E-2</v>
      </c>
      <c r="Y198" s="63">
        <f>Y185/Y$178</f>
        <v>9.4503597122302149E-2</v>
      </c>
      <c r="Z198" s="63">
        <f t="shared" si="463"/>
        <v>9.7159090909090917E-2</v>
      </c>
      <c r="AA198" s="63">
        <f t="shared" si="463"/>
        <v>9.8309405608479811E-2</v>
      </c>
      <c r="AB198" s="63">
        <f t="shared" si="463"/>
        <v>9.8287823817707343E-2</v>
      </c>
      <c r="AC198" s="63">
        <f t="shared" si="463"/>
        <v>9.4734535093967454E-2</v>
      </c>
      <c r="AD198" s="63">
        <f t="shared" si="461"/>
        <v>9.6929253472222213E-2</v>
      </c>
      <c r="AE198" s="63">
        <f t="shared" si="461"/>
        <v>8.7819189394762576E-2</v>
      </c>
      <c r="AF198" s="63">
        <f t="shared" si="461"/>
        <v>8.5514407861862193E-2</v>
      </c>
      <c r="AG198" s="62">
        <f t="shared" si="461"/>
        <v>8.3472589078755863E-2</v>
      </c>
      <c r="AH198" s="62">
        <f t="shared" si="459"/>
        <v>7.3488504922327766E-2</v>
      </c>
      <c r="AI198" s="62">
        <f t="shared" si="459"/>
        <v>5.0691555555555552E-2</v>
      </c>
      <c r="AJ198" s="62">
        <f t="shared" si="459"/>
        <v>6.189138058480894E-2</v>
      </c>
    </row>
    <row r="199" spans="1:37" s="36" customFormat="1" x14ac:dyDescent="0.25">
      <c r="A199" s="35"/>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25"/>
      <c r="AH199" s="32"/>
      <c r="AI199" s="32"/>
      <c r="AJ199" s="32"/>
      <c r="AK199" s="32"/>
    </row>
    <row r="200" spans="1:37" s="36" customFormat="1" x14ac:dyDescent="0.25">
      <c r="A200" s="35"/>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25"/>
      <c r="AH200" s="32"/>
      <c r="AI200" s="32"/>
      <c r="AJ200" s="32"/>
      <c r="AK200" s="32"/>
    </row>
    <row r="201" spans="1:37" x14ac:dyDescent="0.25">
      <c r="A201" s="6" t="s">
        <v>138</v>
      </c>
      <c r="E201" s="249" t="s">
        <v>139</v>
      </c>
    </row>
    <row r="202" spans="1:37" s="26" customFormat="1" hidden="1" outlineLevel="1" x14ac:dyDescent="0.25">
      <c r="A202" s="27" t="s">
        <v>34</v>
      </c>
      <c r="B202" s="24"/>
      <c r="C202" s="20"/>
      <c r="D202" s="20"/>
      <c r="E202" s="20"/>
      <c r="F202" s="20"/>
      <c r="G202" s="20"/>
      <c r="H202" s="20"/>
      <c r="I202" s="28"/>
      <c r="J202" s="20"/>
      <c r="K202" s="20"/>
      <c r="L202" s="20"/>
      <c r="M202" s="20"/>
      <c r="N202" s="20"/>
      <c r="O202" s="20"/>
      <c r="P202" s="20"/>
      <c r="Q202" s="21"/>
      <c r="R202" s="20"/>
      <c r="S202" s="20"/>
      <c r="T202" s="20"/>
      <c r="U202" s="20"/>
      <c r="V202" s="20"/>
      <c r="W202" s="20"/>
      <c r="X202" s="20"/>
      <c r="Y202" s="20"/>
      <c r="Z202" s="20"/>
      <c r="AA202" s="18"/>
      <c r="AB202" s="18"/>
      <c r="AC202" s="18"/>
      <c r="AD202" s="18"/>
      <c r="AE202" s="18"/>
      <c r="AF202" s="18"/>
      <c r="AG202" s="20"/>
      <c r="AH202" s="18"/>
      <c r="AI202" s="249" t="s">
        <v>177</v>
      </c>
      <c r="AJ202" s="18"/>
    </row>
    <row r="203" spans="1:37" s="252" customFormat="1" hidden="1" outlineLevel="1" x14ac:dyDescent="0.25">
      <c r="A203" s="131" t="s">
        <v>35</v>
      </c>
      <c r="B203" s="7">
        <f>B205-B204</f>
        <v>982.80000000000007</v>
      </c>
      <c r="C203" s="7">
        <f t="shared" ref="C203:H203" si="466">C205-C204</f>
        <v>1258.3000000000002</v>
      </c>
      <c r="D203" s="7">
        <f t="shared" si="466"/>
        <v>2084.4</v>
      </c>
      <c r="E203" s="7">
        <f t="shared" si="466"/>
        <v>3503.8</v>
      </c>
      <c r="F203" s="7">
        <f t="shared" si="466"/>
        <v>2945.7</v>
      </c>
      <c r="G203" s="7">
        <f t="shared" si="466"/>
        <v>3358.3</v>
      </c>
      <c r="H203" s="7">
        <f t="shared" si="466"/>
        <v>4307.5</v>
      </c>
      <c r="I203" s="7"/>
      <c r="J203" s="7"/>
      <c r="K203" s="7"/>
      <c r="L203" s="7"/>
      <c r="M203" s="7"/>
      <c r="N203" s="7"/>
      <c r="O203" s="7"/>
      <c r="P203" s="7"/>
      <c r="Q203" s="7"/>
      <c r="R203" s="7"/>
      <c r="S203" s="7"/>
      <c r="T203" s="7"/>
      <c r="U203" s="7"/>
      <c r="V203" s="7"/>
      <c r="W203" s="7"/>
      <c r="X203" s="7"/>
      <c r="Y203" s="7"/>
      <c r="Z203" s="7"/>
      <c r="AA203" s="18"/>
      <c r="AB203" s="18"/>
      <c r="AC203" s="18"/>
      <c r="AD203" s="18"/>
      <c r="AE203" s="18"/>
      <c r="AF203" s="18"/>
      <c r="AG203" s="20"/>
      <c r="AH203" s="18"/>
      <c r="AI203" s="18"/>
      <c r="AJ203" s="18"/>
    </row>
    <row r="204" spans="1:37" s="252" customFormat="1" hidden="1" outlineLevel="1" x14ac:dyDescent="0.25">
      <c r="A204" s="10" t="s">
        <v>36</v>
      </c>
      <c r="B204" s="11">
        <v>-82.5</v>
      </c>
      <c r="C204" s="11">
        <v>-90.5</v>
      </c>
      <c r="D204" s="11">
        <v>-87.7</v>
      </c>
      <c r="E204" s="11">
        <v>-69.3</v>
      </c>
      <c r="F204" s="11">
        <v>-125</v>
      </c>
      <c r="G204" s="11">
        <v>-200.8</v>
      </c>
      <c r="H204" s="11">
        <f>-293.1</f>
        <v>-293.10000000000002</v>
      </c>
      <c r="I204" s="12"/>
      <c r="J204" s="11"/>
      <c r="K204" s="11"/>
      <c r="L204" s="11"/>
      <c r="M204" s="11"/>
      <c r="N204" s="11"/>
      <c r="O204" s="11"/>
      <c r="P204" s="11"/>
      <c r="Q204" s="7"/>
      <c r="R204" s="11"/>
      <c r="S204" s="11"/>
      <c r="T204" s="11"/>
      <c r="U204" s="7"/>
      <c r="V204" s="11"/>
      <c r="W204" s="11"/>
      <c r="X204" s="11"/>
      <c r="Y204" s="11"/>
      <c r="Z204" s="11"/>
      <c r="AA204" s="11"/>
      <c r="AB204" s="11"/>
      <c r="AC204" s="11"/>
      <c r="AD204" s="11"/>
      <c r="AE204" s="11"/>
      <c r="AF204" s="11"/>
      <c r="AG204" s="11"/>
      <c r="AH204" s="11"/>
      <c r="AI204" s="11"/>
      <c r="AJ204" s="11"/>
    </row>
    <row r="205" spans="1:37" s="252" customFormat="1" hidden="1" outlineLevel="1" x14ac:dyDescent="0.25">
      <c r="A205" s="131" t="s">
        <v>37</v>
      </c>
      <c r="B205" s="7">
        <f t="shared" ref="B205:H205" si="467">+B8</f>
        <v>900.30000000000007</v>
      </c>
      <c r="C205" s="7">
        <f t="shared" si="467"/>
        <v>1167.8000000000002</v>
      </c>
      <c r="D205" s="7">
        <f t="shared" si="467"/>
        <v>1996.7</v>
      </c>
      <c r="E205" s="7">
        <f t="shared" si="467"/>
        <v>3434.5</v>
      </c>
      <c r="F205" s="7">
        <f t="shared" si="467"/>
        <v>2820.7</v>
      </c>
      <c r="G205" s="7">
        <f t="shared" si="467"/>
        <v>3157.5</v>
      </c>
      <c r="H205" s="7">
        <f t="shared" si="467"/>
        <v>4014.4</v>
      </c>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row>
    <row r="206" spans="1:37" s="30" customFormat="1" hidden="1" outlineLevel="1" x14ac:dyDescent="0.25">
      <c r="A206" s="29"/>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row>
    <row r="207" spans="1:37" s="17" customFormat="1" collapsed="1" x14ac:dyDescent="0.25">
      <c r="A207" s="9" t="s">
        <v>140</v>
      </c>
      <c r="B207" s="8">
        <f>B203</f>
        <v>982.80000000000007</v>
      </c>
      <c r="C207" s="8">
        <f>C203</f>
        <v>1258.3000000000002</v>
      </c>
      <c r="D207" s="8">
        <f>D203</f>
        <v>2084.4</v>
      </c>
      <c r="E207" s="8">
        <f>E203</f>
        <v>3503.8</v>
      </c>
      <c r="F207" s="43"/>
      <c r="G207" s="43"/>
      <c r="H207" s="43"/>
      <c r="I207" s="9"/>
      <c r="J207" s="8"/>
      <c r="K207" s="8"/>
      <c r="L207" s="8"/>
      <c r="M207" s="8"/>
      <c r="N207" s="8"/>
      <c r="O207" s="8"/>
      <c r="P207" s="8"/>
      <c r="Q207" s="8"/>
      <c r="R207" s="8"/>
      <c r="S207" s="8"/>
      <c r="T207" s="8"/>
      <c r="U207" s="8"/>
      <c r="V207" s="8"/>
      <c r="W207" s="8"/>
      <c r="X207" s="8"/>
      <c r="Y207" s="8"/>
      <c r="Z207" s="43"/>
      <c r="AA207" s="43"/>
      <c r="AB207" s="43"/>
      <c r="AC207" s="43"/>
      <c r="AD207" s="43"/>
      <c r="AE207" s="43">
        <v>2446.9</v>
      </c>
      <c r="AF207" s="43">
        <v>2323.1</v>
      </c>
      <c r="AH207" s="43">
        <v>2529.1</v>
      </c>
      <c r="AI207" s="43">
        <v>3008</v>
      </c>
      <c r="AJ207" s="43">
        <v>3098.2</v>
      </c>
    </row>
    <row r="208" spans="1:37" x14ac:dyDescent="0.25">
      <c r="A208" s="71" t="s">
        <v>69</v>
      </c>
      <c r="B208" s="18"/>
      <c r="C208" s="18">
        <f t="shared" ref="C208:E208" si="468">C207/B207-1</f>
        <v>0.28032153032153051</v>
      </c>
      <c r="D208" s="18">
        <f t="shared" si="468"/>
        <v>0.65652070253516626</v>
      </c>
      <c r="E208" s="18">
        <f t="shared" si="468"/>
        <v>0.68096334676645554</v>
      </c>
      <c r="F208" s="18"/>
      <c r="G208" s="18"/>
      <c r="H208" s="18"/>
      <c r="I208" s="4"/>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20"/>
      <c r="AH208" s="18"/>
      <c r="AI208" s="18">
        <f>AI207/AE207-1</f>
        <v>0.229310556213985</v>
      </c>
      <c r="AJ208" s="18">
        <f>AJ207/AF207-1</f>
        <v>0.33364900348672033</v>
      </c>
    </row>
    <row r="209" spans="1:36" x14ac:dyDescent="0.25">
      <c r="A209" s="6"/>
      <c r="AG209" s="78"/>
    </row>
    <row r="210" spans="1:36" s="129" customFormat="1" x14ac:dyDescent="0.25">
      <c r="A210" s="109" t="s">
        <v>141</v>
      </c>
      <c r="B210" s="114">
        <v>520.29999999999995</v>
      </c>
      <c r="C210" s="114">
        <v>515.29999999999995</v>
      </c>
      <c r="D210" s="114">
        <v>753.8</v>
      </c>
      <c r="E210" s="114">
        <v>1057.0999999999999</v>
      </c>
      <c r="F210" s="114">
        <v>1123</v>
      </c>
      <c r="G210" s="114">
        <v>1908</v>
      </c>
      <c r="H210" s="114">
        <v>2191</v>
      </c>
      <c r="I210" s="109"/>
      <c r="J210" s="114">
        <v>539.29999999999995</v>
      </c>
      <c r="K210" s="114">
        <v>554.5</v>
      </c>
      <c r="L210" s="114">
        <v>534.5</v>
      </c>
      <c r="M210" s="114">
        <v>515.29999999999995</v>
      </c>
      <c r="N210" s="114">
        <v>538.5</v>
      </c>
      <c r="O210" s="114">
        <v>561.6</v>
      </c>
      <c r="P210" s="114">
        <v>635.5</v>
      </c>
      <c r="Q210" s="114">
        <v>753.8</v>
      </c>
      <c r="R210" s="114">
        <v>821.9</v>
      </c>
      <c r="S210" s="114"/>
      <c r="T210" s="114">
        <v>1000.3</v>
      </c>
      <c r="U210" s="114">
        <v>1057.0999999999999</v>
      </c>
      <c r="V210" s="114"/>
      <c r="W210" s="114"/>
      <c r="X210" s="114"/>
      <c r="Y210" s="114">
        <v>1123</v>
      </c>
      <c r="Z210" s="114"/>
      <c r="AA210" s="114"/>
      <c r="AB210" s="114"/>
      <c r="AC210" s="114"/>
      <c r="AD210" s="114">
        <f>1069.1-AE210</f>
        <v>506.29999999999995</v>
      </c>
      <c r="AE210" s="114">
        <v>562.79999999999995</v>
      </c>
      <c r="AF210" s="114">
        <v>477.7</v>
      </c>
      <c r="AG210" s="129">
        <f>H210-SUM(AD210:AF210)</f>
        <v>644.20000000000005</v>
      </c>
      <c r="AH210" s="114">
        <v>554.29999999999995</v>
      </c>
      <c r="AI210" s="114">
        <v>679.2</v>
      </c>
      <c r="AJ210" s="114">
        <v>648.4</v>
      </c>
    </row>
    <row r="211" spans="1:36" x14ac:dyDescent="0.25">
      <c r="A211" s="71" t="s">
        <v>69</v>
      </c>
      <c r="B211" s="18"/>
      <c r="C211" s="18">
        <f t="shared" ref="C211:H211" si="469">C210/B210-1</f>
        <v>-9.609840476648035E-3</v>
      </c>
      <c r="D211" s="18">
        <f t="shared" si="469"/>
        <v>0.46283718222394721</v>
      </c>
      <c r="E211" s="18">
        <f t="shared" si="469"/>
        <v>0.40236136906341202</v>
      </c>
      <c r="F211" s="18">
        <f t="shared" si="469"/>
        <v>6.234036514993857E-2</v>
      </c>
      <c r="G211" s="18">
        <f>G210/F210-1</f>
        <v>0.69902048085485302</v>
      </c>
      <c r="H211" s="18">
        <f t="shared" si="469"/>
        <v>0.14832285115303989</v>
      </c>
      <c r="I211" s="4"/>
      <c r="J211" s="18"/>
      <c r="K211" s="18"/>
      <c r="L211" s="18"/>
      <c r="M211" s="18"/>
      <c r="N211" s="18">
        <f t="shared" ref="N211:U211" si="470">N210/J210-1</f>
        <v>-1.4834044131279978E-3</v>
      </c>
      <c r="O211" s="18">
        <f t="shared" si="470"/>
        <v>1.2804328223624983E-2</v>
      </c>
      <c r="P211" s="18">
        <f t="shared" si="470"/>
        <v>0.18896164639850332</v>
      </c>
      <c r="Q211" s="18">
        <f t="shared" si="470"/>
        <v>0.46283718222394721</v>
      </c>
      <c r="R211" s="18">
        <f t="shared" si="470"/>
        <v>0.5262766945218198</v>
      </c>
      <c r="S211" s="18"/>
      <c r="T211" s="18">
        <f t="shared" si="470"/>
        <v>0.57403619197482292</v>
      </c>
      <c r="U211" s="18">
        <f t="shared" si="470"/>
        <v>0.40236136906341202</v>
      </c>
      <c r="V211" s="18"/>
      <c r="W211" s="18"/>
      <c r="X211" s="18"/>
      <c r="Y211" s="18">
        <f t="shared" ref="Y211" si="471">Y210/U210-1</f>
        <v>6.234036514993857E-2</v>
      </c>
      <c r="Z211" s="18"/>
      <c r="AA211" s="18"/>
      <c r="AB211" s="18"/>
      <c r="AC211" s="18"/>
      <c r="AD211" s="18"/>
      <c r="AE211" s="18"/>
      <c r="AF211" s="18"/>
      <c r="AG211" s="20"/>
      <c r="AH211" s="18">
        <f>AH210/AD210-1</f>
        <v>9.4805451313450639E-2</v>
      </c>
      <c r="AI211" s="18">
        <f>AI210/AE210-1</f>
        <v>0.20682302771855032</v>
      </c>
      <c r="AJ211" s="18">
        <f>AJ210/AF210-1</f>
        <v>0.35733724094620056</v>
      </c>
    </row>
    <row r="212" spans="1:36" x14ac:dyDescent="0.25">
      <c r="A212" s="45"/>
      <c r="B212" s="45"/>
      <c r="C212" s="45"/>
      <c r="D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row>
    <row r="213" spans="1:36" s="117" customFormat="1" x14ac:dyDescent="0.25">
      <c r="A213" s="130" t="s">
        <v>142</v>
      </c>
      <c r="B213" s="130">
        <f>B207/B210</f>
        <v>1.8889102440899483</v>
      </c>
      <c r="C213" s="130">
        <f>C207/C210</f>
        <v>2.4418785173685236</v>
      </c>
      <c r="D213" s="130">
        <f>D207/D210</f>
        <v>2.7651897054921735</v>
      </c>
      <c r="E213" s="130">
        <f>E207/E210</f>
        <v>3.3145397786396749</v>
      </c>
      <c r="F213" s="130"/>
      <c r="G213" s="130"/>
      <c r="H213" s="130"/>
      <c r="I213" s="130"/>
      <c r="J213" s="130"/>
      <c r="K213" s="130"/>
      <c r="L213" s="130"/>
      <c r="M213" s="130"/>
      <c r="N213" s="130"/>
      <c r="O213" s="130"/>
      <c r="P213" s="130"/>
      <c r="Q213" s="130"/>
      <c r="R213" s="130"/>
      <c r="S213" s="130"/>
      <c r="T213" s="130"/>
      <c r="U213" s="130"/>
      <c r="V213" s="130"/>
      <c r="W213" s="130"/>
      <c r="X213" s="130"/>
      <c r="Y213" s="130"/>
      <c r="Z213" s="130"/>
      <c r="AA213" s="130"/>
      <c r="AB213" s="130"/>
      <c r="AC213" s="130"/>
      <c r="AD213" s="130"/>
      <c r="AE213" s="130">
        <f>AE207/AE210</f>
        <v>4.3477256574271506</v>
      </c>
      <c r="AF213" s="130">
        <f>AF207/AF210</f>
        <v>4.8630939920452168</v>
      </c>
      <c r="AG213" s="130"/>
      <c r="AH213" s="130">
        <f>AH207/AH210</f>
        <v>4.5626916832040409</v>
      </c>
      <c r="AI213" s="130">
        <f>AI207/AI210</f>
        <v>4.4287396937573611</v>
      </c>
      <c r="AJ213" s="130">
        <f>AJ207/AJ210</f>
        <v>4.7782233189389265</v>
      </c>
    </row>
    <row r="214" spans="1:36" s="56" customFormat="1" x14ac:dyDescent="0.25">
      <c r="A214" s="35" t="s">
        <v>69</v>
      </c>
      <c r="B214" s="25"/>
      <c r="C214" s="25">
        <f t="shared" ref="C214:D214" si="472">C213/B213-1</f>
        <v>0.29274459970171218</v>
      </c>
      <c r="D214" s="25">
        <f t="shared" si="472"/>
        <v>0.13240265059216139</v>
      </c>
      <c r="E214" s="25">
        <f>E213/D213-1</f>
        <v>0.19866632370878268</v>
      </c>
      <c r="F214" s="25"/>
      <c r="G214" s="25"/>
      <c r="H214" s="25"/>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f>AI213/AE213-1</f>
        <v>1.8633658770951911E-2</v>
      </c>
      <c r="AJ214" s="32">
        <f>AJ213/AF213-1</f>
        <v>-1.7451991107948372E-2</v>
      </c>
    </row>
    <row r="215" spans="1:36" x14ac:dyDescent="0.25">
      <c r="A215" s="45"/>
      <c r="B215" s="45"/>
      <c r="C215" s="45"/>
      <c r="D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row>
    <row r="216" spans="1:36" s="117" customFormat="1" x14ac:dyDescent="0.25">
      <c r="A216" s="130" t="s">
        <v>224</v>
      </c>
      <c r="B216" s="130"/>
      <c r="C216" s="130">
        <f t="shared" ref="C216:H216" si="473">C147/C210</f>
        <v>-0.3783427129827277</v>
      </c>
      <c r="D216" s="130">
        <f t="shared" si="473"/>
        <v>-1.5919342000534264E-3</v>
      </c>
      <c r="E216" s="130">
        <f t="shared" si="473"/>
        <v>9.7593415949294979E-2</v>
      </c>
      <c r="F216" s="130">
        <f t="shared" si="473"/>
        <v>1.7788067675867904E-2</v>
      </c>
      <c r="G216" s="130">
        <f t="shared" si="473"/>
        <v>0.1524371069182392</v>
      </c>
      <c r="H216" s="130">
        <f t="shared" si="473"/>
        <v>0.24526243724326807</v>
      </c>
      <c r="I216" s="130"/>
      <c r="J216" s="130"/>
      <c r="K216" s="130"/>
      <c r="L216" s="130"/>
      <c r="M216" s="130"/>
      <c r="N216" s="130"/>
      <c r="O216" s="130"/>
      <c r="P216" s="130"/>
      <c r="Q216" s="130"/>
      <c r="R216" s="130"/>
      <c r="S216" s="130"/>
      <c r="T216" s="130"/>
      <c r="U216" s="130"/>
      <c r="V216" s="130"/>
      <c r="W216" s="130"/>
      <c r="X216" s="130"/>
      <c r="Y216" s="130"/>
      <c r="Z216" s="130"/>
      <c r="AA216" s="130"/>
      <c r="AB216" s="130"/>
      <c r="AC216" s="130"/>
      <c r="AD216" s="130">
        <f t="shared" ref="AD216:AJ216" si="474">AD147/AD210</f>
        <v>0.18389887418526557</v>
      </c>
      <c r="AE216" s="130">
        <f t="shared" si="474"/>
        <v>0.33032338308457687</v>
      </c>
      <c r="AF216" s="130">
        <f t="shared" si="474"/>
        <v>0.26444839857651248</v>
      </c>
      <c r="AG216" s="130">
        <f t="shared" si="474"/>
        <v>0.20495032598571905</v>
      </c>
      <c r="AH216" s="130">
        <f t="shared" si="474"/>
        <v>0.15150690763844077</v>
      </c>
      <c r="AI216" s="130">
        <f t="shared" si="474"/>
        <v>0.13899734982332143</v>
      </c>
      <c r="AJ216" s="130">
        <f t="shared" si="474"/>
        <v>0.43569089311280068</v>
      </c>
    </row>
    <row r="217" spans="1:36" s="56" customFormat="1" x14ac:dyDescent="0.25">
      <c r="A217" s="35"/>
      <c r="B217" s="25"/>
      <c r="C217" s="25"/>
      <c r="D217" s="25"/>
      <c r="E217" s="25"/>
      <c r="F217" s="25"/>
      <c r="G217" s="25"/>
      <c r="H217" s="25"/>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row>
    <row r="218" spans="1:36" s="17" customFormat="1" x14ac:dyDescent="0.25">
      <c r="B218" s="84"/>
      <c r="C218" s="84"/>
      <c r="D218" s="84"/>
      <c r="E218" s="84"/>
      <c r="F218" s="84"/>
      <c r="G218" s="84"/>
      <c r="H218" s="84"/>
      <c r="I218" s="85"/>
      <c r="J218" s="85"/>
      <c r="K218" s="85"/>
      <c r="L218" s="85"/>
      <c r="M218" s="85"/>
      <c r="N218" s="86"/>
      <c r="O218" s="86"/>
      <c r="P218" s="84"/>
      <c r="Q218" s="87"/>
      <c r="R218" s="84"/>
      <c r="S218" s="84"/>
      <c r="T218" s="84"/>
      <c r="U218" s="84"/>
      <c r="V218" s="84"/>
      <c r="W218" s="84"/>
      <c r="Y218" s="86"/>
      <c r="Z218" s="86"/>
      <c r="AA218" s="86"/>
      <c r="AB218" s="86"/>
      <c r="AC218" s="86"/>
      <c r="AD218" s="86"/>
      <c r="AE218" s="86"/>
      <c r="AF218" s="85"/>
      <c r="AG218" s="86"/>
      <c r="AH218" s="86"/>
      <c r="AI218" s="86"/>
      <c r="AJ218" s="86"/>
    </row>
    <row r="219" spans="1:36" x14ac:dyDescent="0.25">
      <c r="A219" s="9" t="s">
        <v>73</v>
      </c>
      <c r="B219" s="9"/>
      <c r="C219" s="12"/>
      <c r="D219" s="12"/>
      <c r="E219" s="12"/>
      <c r="F219" s="12"/>
      <c r="G219" s="12"/>
      <c r="H219" s="12"/>
      <c r="I219" s="12"/>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row>
    <row r="220" spans="1:36" x14ac:dyDescent="0.25">
      <c r="A220" s="12" t="s">
        <v>74</v>
      </c>
      <c r="B220" s="11">
        <f>1559.5+359.7</f>
        <v>1919.2</v>
      </c>
      <c r="C220" s="11">
        <v>2744</v>
      </c>
      <c r="D220" s="11">
        <f>1154.6+1.4</f>
        <v>1156</v>
      </c>
      <c r="E220" s="11">
        <f>5461.2+59.7</f>
        <v>5520.9</v>
      </c>
      <c r="F220" s="11">
        <f>512.8+58</f>
        <v>570.79999999999995</v>
      </c>
      <c r="G220" s="11">
        <f>1233.9+433.8</f>
        <v>1667.7</v>
      </c>
      <c r="H220" s="11">
        <f>1893+519.2</f>
        <v>2412.1999999999998</v>
      </c>
      <c r="I220" s="12" t="s">
        <v>75</v>
      </c>
      <c r="J220" s="11"/>
      <c r="K220" s="11"/>
      <c r="L220" s="11"/>
      <c r="M220" s="11"/>
      <c r="N220" s="11"/>
      <c r="O220" s="11"/>
      <c r="P220" s="11"/>
      <c r="Q220" s="11">
        <f>1154.6+1.4</f>
        <v>1156</v>
      </c>
      <c r="R220" s="11"/>
      <c r="S220" s="11">
        <f>3695.8+47.3</f>
        <v>3743.1000000000004</v>
      </c>
      <c r="T220" s="11">
        <f>2753+94.5</f>
        <v>2847.5</v>
      </c>
      <c r="U220" s="11">
        <f>5461.2+59.7</f>
        <v>5520.9</v>
      </c>
      <c r="V220" s="11">
        <f>4648.1+42.7</f>
        <v>4690.8</v>
      </c>
      <c r="W220" s="11">
        <f>3818.6+51.1</f>
        <v>3869.7</v>
      </c>
      <c r="X220" s="11">
        <f>1553.8+44.8</f>
        <v>1598.6</v>
      </c>
      <c r="Y220" s="11">
        <f>512.8+58</f>
        <v>570.79999999999995</v>
      </c>
      <c r="Z220" s="11">
        <f>2762.5+127.4</f>
        <v>2889.9</v>
      </c>
      <c r="AA220" s="11">
        <f>614.2+99.7</f>
        <v>713.90000000000009</v>
      </c>
      <c r="AB220" s="11">
        <f>455.6+233.4</f>
        <v>689</v>
      </c>
      <c r="AC220" s="11">
        <f>1233.9+433.8</f>
        <v>1667.7</v>
      </c>
      <c r="AD220" s="11">
        <f>937.1+401.6</f>
        <v>1338.7</v>
      </c>
      <c r="AE220" s="11">
        <f>529.2+394.1</f>
        <v>923.30000000000007</v>
      </c>
      <c r="AF220" s="11">
        <f>1887.2+652.6</f>
        <v>2539.8000000000002</v>
      </c>
      <c r="AG220" s="11">
        <f>1893+519.2</f>
        <v>2412.1999999999998</v>
      </c>
      <c r="AH220" s="11">
        <f>2680.7+422.8</f>
        <v>3103.5</v>
      </c>
      <c r="AI220" s="11">
        <f>2105+435.8</f>
        <v>2540.8000000000002</v>
      </c>
      <c r="AJ220" s="11">
        <f>2776.6+67.3</f>
        <v>2843.9</v>
      </c>
    </row>
    <row r="221" spans="1:36" x14ac:dyDescent="0.25">
      <c r="A221" s="12" t="s">
        <v>76</v>
      </c>
      <c r="B221" s="11">
        <v>324.7</v>
      </c>
      <c r="C221" s="11">
        <v>721.3</v>
      </c>
      <c r="D221" s="11">
        <v>957.3</v>
      </c>
      <c r="E221" s="11">
        <v>770</v>
      </c>
      <c r="F221" s="11">
        <v>1193.9000000000001</v>
      </c>
      <c r="G221" s="11">
        <v>2702.5</v>
      </c>
      <c r="H221" s="11">
        <v>1558.3</v>
      </c>
      <c r="I221" s="12"/>
      <c r="J221" s="11"/>
      <c r="K221" s="11"/>
      <c r="L221" s="11"/>
      <c r="M221" s="11"/>
      <c r="N221" s="11"/>
      <c r="O221" s="11"/>
      <c r="P221" s="11"/>
      <c r="Q221" s="11">
        <v>957.3</v>
      </c>
      <c r="R221" s="11"/>
      <c r="S221" s="11">
        <v>615.79999999999995</v>
      </c>
      <c r="T221" s="11">
        <v>852.7</v>
      </c>
      <c r="U221" s="11">
        <v>770</v>
      </c>
      <c r="V221" s="11">
        <v>795</v>
      </c>
      <c r="W221" s="11">
        <v>795</v>
      </c>
      <c r="X221" s="11">
        <v>1333.2</v>
      </c>
      <c r="Y221" s="11">
        <v>1193.9000000000001</v>
      </c>
      <c r="Z221" s="11">
        <v>1726.6</v>
      </c>
      <c r="AA221" s="11">
        <v>3636.1</v>
      </c>
      <c r="AB221" s="11">
        <v>4519.8</v>
      </c>
      <c r="AC221" s="11">
        <v>2702.5</v>
      </c>
      <c r="AD221" s="11">
        <v>2383.1999999999998</v>
      </c>
      <c r="AE221" s="11">
        <f>3021.6</f>
        <v>3021.6</v>
      </c>
      <c r="AF221" s="11">
        <v>1870.1</v>
      </c>
      <c r="AG221" s="11">
        <v>1558.3</v>
      </c>
      <c r="AH221" s="11">
        <v>709.5</v>
      </c>
      <c r="AI221" s="11">
        <v>1069</v>
      </c>
      <c r="AJ221" s="11">
        <v>0</v>
      </c>
    </row>
    <row r="222" spans="1:36" x14ac:dyDescent="0.25">
      <c r="A222" s="12" t="s">
        <v>77</v>
      </c>
      <c r="B222" s="11">
        <v>6.9</v>
      </c>
      <c r="C222" s="11">
        <v>30.3</v>
      </c>
      <c r="D222" s="11">
        <v>38.200000000000003</v>
      </c>
      <c r="E222" s="11">
        <v>403.5</v>
      </c>
      <c r="F222" s="11">
        <v>352.3</v>
      </c>
      <c r="G222" s="11">
        <v>313.5</v>
      </c>
      <c r="H222" s="11">
        <v>386.7</v>
      </c>
      <c r="I222" s="12" t="s">
        <v>78</v>
      </c>
      <c r="J222" s="11"/>
      <c r="K222" s="11"/>
      <c r="L222" s="11"/>
      <c r="M222" s="11"/>
      <c r="N222" s="11"/>
      <c r="O222" s="11"/>
      <c r="P222" s="11"/>
      <c r="Q222" s="11">
        <v>38.200000000000003</v>
      </c>
      <c r="R222" s="11"/>
      <c r="S222" s="11">
        <v>71.400000000000006</v>
      </c>
      <c r="T222" s="11">
        <v>104.6</v>
      </c>
      <c r="U222" s="11">
        <v>403.5</v>
      </c>
      <c r="V222" s="11">
        <v>372.5</v>
      </c>
      <c r="W222" s="11">
        <v>252.1</v>
      </c>
      <c r="X222" s="11">
        <v>241.1</v>
      </c>
      <c r="Y222" s="11">
        <v>352.3</v>
      </c>
      <c r="Z222" s="11">
        <v>289.5</v>
      </c>
      <c r="AA222" s="11">
        <v>329.3</v>
      </c>
      <c r="AB222" s="11">
        <v>358.8</v>
      </c>
      <c r="AC222" s="11">
        <v>313.5</v>
      </c>
      <c r="AD222" s="11">
        <v>309.39999999999998</v>
      </c>
      <c r="AE222" s="11">
        <v>355.9</v>
      </c>
      <c r="AF222" s="11">
        <v>393.4</v>
      </c>
      <c r="AG222" s="11">
        <v>386.7</v>
      </c>
      <c r="AH222" s="11">
        <v>379.5</v>
      </c>
      <c r="AI222" s="11">
        <v>417.4</v>
      </c>
      <c r="AJ222" s="11">
        <v>1159.5</v>
      </c>
    </row>
    <row r="223" spans="1:36" x14ac:dyDescent="0.25">
      <c r="A223" s="12" t="s">
        <v>79</v>
      </c>
      <c r="B223" s="11">
        <v>5.8</v>
      </c>
      <c r="C223" s="11">
        <v>7.8</v>
      </c>
      <c r="D223" s="11">
        <v>3.8</v>
      </c>
      <c r="E223" s="11">
        <v>5.4</v>
      </c>
      <c r="F223" s="11">
        <v>6.3</v>
      </c>
      <c r="G223" s="11">
        <v>8.8000000000000007</v>
      </c>
      <c r="H223" s="11">
        <v>9.1999999999999993</v>
      </c>
      <c r="I223" s="12"/>
      <c r="J223" s="11"/>
      <c r="K223" s="11"/>
      <c r="L223" s="11"/>
      <c r="M223" s="11"/>
      <c r="N223" s="11"/>
      <c r="O223" s="11"/>
      <c r="P223" s="11"/>
      <c r="Q223" s="11">
        <v>3.8</v>
      </c>
      <c r="R223" s="11"/>
      <c r="S223" s="11">
        <v>5.0999999999999996</v>
      </c>
      <c r="T223" s="11">
        <v>5.6</v>
      </c>
      <c r="U223" s="11">
        <v>5.4</v>
      </c>
      <c r="V223" s="11">
        <v>7.7</v>
      </c>
      <c r="W223" s="11">
        <v>8.1</v>
      </c>
      <c r="X223" s="11">
        <v>7.2</v>
      </c>
      <c r="Y223" s="11">
        <v>6.3</v>
      </c>
      <c r="Z223" s="11">
        <v>5.7</v>
      </c>
      <c r="AA223" s="11">
        <v>8.5</v>
      </c>
      <c r="AB223" s="11">
        <v>8.9</v>
      </c>
      <c r="AC223" s="11">
        <v>8.8000000000000007</v>
      </c>
      <c r="AD223" s="11">
        <v>9.4</v>
      </c>
      <c r="AE223" s="11">
        <v>6.8</v>
      </c>
      <c r="AF223" s="11">
        <v>9.8000000000000007</v>
      </c>
      <c r="AG223" s="11">
        <v>9.1999999999999993</v>
      </c>
      <c r="AH223" s="11">
        <v>8.5</v>
      </c>
      <c r="AI223" s="11">
        <v>10.3</v>
      </c>
      <c r="AJ223" s="11">
        <v>11.8</v>
      </c>
    </row>
    <row r="224" spans="1:36" x14ac:dyDescent="0.25">
      <c r="A224" s="12" t="s">
        <v>80</v>
      </c>
      <c r="B224" s="11">
        <v>48.7</v>
      </c>
      <c r="C224" s="11">
        <v>159.30000000000001</v>
      </c>
      <c r="D224" s="11">
        <v>308.60000000000002</v>
      </c>
      <c r="E224" s="11">
        <v>646.29999999999995</v>
      </c>
      <c r="F224" s="11">
        <v>840.6</v>
      </c>
      <c r="G224" s="11">
        <v>1060.9000000000001</v>
      </c>
      <c r="H224" s="11">
        <v>1287</v>
      </c>
      <c r="I224" s="12" t="s">
        <v>81</v>
      </c>
      <c r="J224" s="11"/>
      <c r="K224" s="11"/>
      <c r="L224" s="11"/>
      <c r="M224" s="11"/>
      <c r="N224" s="11"/>
      <c r="O224" s="11"/>
      <c r="P224" s="11"/>
      <c r="Q224" s="11">
        <v>308.60000000000002</v>
      </c>
      <c r="R224" s="11"/>
      <c r="S224" s="11">
        <v>544.9</v>
      </c>
      <c r="T224" s="11">
        <v>419.3</v>
      </c>
      <c r="U224" s="11">
        <v>646.29999999999995</v>
      </c>
      <c r="V224" s="11">
        <v>464.7</v>
      </c>
      <c r="W224" s="11">
        <v>461</v>
      </c>
      <c r="X224" s="11">
        <v>595.5</v>
      </c>
      <c r="Y224" s="11">
        <v>840.6</v>
      </c>
      <c r="Z224" s="11">
        <v>995.9</v>
      </c>
      <c r="AA224" s="11">
        <v>1271.8</v>
      </c>
      <c r="AB224" s="11">
        <v>832.4</v>
      </c>
      <c r="AC224" s="11">
        <v>1060.9000000000001</v>
      </c>
      <c r="AD224" s="11">
        <v>1148.4000000000001</v>
      </c>
      <c r="AE224" s="11">
        <v>1092.7</v>
      </c>
      <c r="AF224" s="11">
        <v>999.4</v>
      </c>
      <c r="AG224" s="11">
        <v>1287</v>
      </c>
      <c r="AH224" s="11">
        <v>1118.8</v>
      </c>
      <c r="AI224" s="11">
        <v>1142.8</v>
      </c>
      <c r="AJ224" s="11">
        <v>667</v>
      </c>
    </row>
    <row r="225" spans="1:37" x14ac:dyDescent="0.25">
      <c r="A225" s="12" t="s">
        <v>82</v>
      </c>
      <c r="B225" s="12">
        <f t="shared" ref="B225:G225" si="475">B226-SUM(B220:B224)</f>
        <v>55</v>
      </c>
      <c r="C225" s="12">
        <f t="shared" si="475"/>
        <v>97.199999999999363</v>
      </c>
      <c r="D225" s="12">
        <f t="shared" si="475"/>
        <v>100.69999999999982</v>
      </c>
      <c r="E225" s="12">
        <f t="shared" si="475"/>
        <v>175.80000000000018</v>
      </c>
      <c r="F225" s="12">
        <f t="shared" si="475"/>
        <v>479.19999999999982</v>
      </c>
      <c r="G225" s="12">
        <f t="shared" si="475"/>
        <v>606.80000000000018</v>
      </c>
      <c r="H225" s="12">
        <f>H226-SUM(H220:H224)</f>
        <v>415.5</v>
      </c>
      <c r="I225" s="15"/>
      <c r="J225" s="12"/>
      <c r="K225" s="12"/>
      <c r="L225" s="12"/>
      <c r="M225" s="12"/>
      <c r="N225" s="12"/>
      <c r="O225" s="12"/>
      <c r="P225" s="12"/>
      <c r="Q225" s="12">
        <f>Q226-SUM(Q220:Q224)</f>
        <v>100.69999999999982</v>
      </c>
      <c r="R225" s="12"/>
      <c r="S225" s="12">
        <f t="shared" ref="S225:X225" si="476">S226-SUM(S220:S224)</f>
        <v>88.5</v>
      </c>
      <c r="T225" s="12">
        <f t="shared" si="476"/>
        <v>138.80000000000018</v>
      </c>
      <c r="U225" s="12">
        <f t="shared" si="476"/>
        <v>175.80000000000018</v>
      </c>
      <c r="V225" s="12">
        <f t="shared" si="476"/>
        <v>175.60000000000036</v>
      </c>
      <c r="W225" s="12">
        <f t="shared" si="476"/>
        <v>260.99999999999909</v>
      </c>
      <c r="X225" s="12">
        <f t="shared" si="476"/>
        <v>450.09999999999991</v>
      </c>
      <c r="Y225" s="12">
        <f>Y226-SUM(Y220:Y224)</f>
        <v>479.19999999999982</v>
      </c>
      <c r="Z225" s="12">
        <f>Z226-SUM(Z220:Z224)</f>
        <v>360.60000000000036</v>
      </c>
      <c r="AA225" s="12">
        <f>AA226-SUM(AA220:AA224)</f>
        <v>576.09999999999945</v>
      </c>
      <c r="AB225" s="12">
        <f>AB226-SUM(AB220:AB224)</f>
        <v>296.70000000000073</v>
      </c>
      <c r="AC225" s="12">
        <f t="shared" ref="AC225:AE225" si="477">AC226-SUM(AC220:AC224)</f>
        <v>606.80000000000018</v>
      </c>
      <c r="AD225" s="12">
        <f t="shared" si="477"/>
        <v>624.19999999999982</v>
      </c>
      <c r="AE225" s="12">
        <f t="shared" si="477"/>
        <v>365.80000000000018</v>
      </c>
      <c r="AF225" s="12">
        <f>AF226-SUM(AF220:AF224)</f>
        <v>292.70000000000073</v>
      </c>
      <c r="AG225" s="12">
        <f t="shared" ref="AG225:AJ225" si="478">AG226-SUM(AG220:AG224)</f>
        <v>415.5</v>
      </c>
      <c r="AH225" s="12">
        <f t="shared" si="478"/>
        <v>140.80000000000018</v>
      </c>
      <c r="AI225" s="12">
        <f t="shared" si="478"/>
        <v>191</v>
      </c>
      <c r="AJ225" s="12">
        <f t="shared" si="478"/>
        <v>307.69999999999891</v>
      </c>
    </row>
    <row r="226" spans="1:37" x14ac:dyDescent="0.25">
      <c r="A226" s="48" t="s">
        <v>83</v>
      </c>
      <c r="B226" s="88">
        <v>2360.3000000000002</v>
      </c>
      <c r="C226" s="88">
        <v>3759.9</v>
      </c>
      <c r="D226" s="88">
        <v>2564.6</v>
      </c>
      <c r="E226" s="88">
        <v>7521.9</v>
      </c>
      <c r="F226" s="88">
        <v>3443.1</v>
      </c>
      <c r="G226" s="88">
        <v>6360.2</v>
      </c>
      <c r="H226" s="88">
        <v>6068.9</v>
      </c>
      <c r="I226" s="12"/>
      <c r="J226" s="88"/>
      <c r="K226" s="88"/>
      <c r="L226" s="88"/>
      <c r="M226" s="88"/>
      <c r="N226" s="88"/>
      <c r="O226" s="88"/>
      <c r="P226" s="88"/>
      <c r="Q226" s="88">
        <v>2564.6</v>
      </c>
      <c r="R226" s="88"/>
      <c r="S226" s="88">
        <v>5068.8</v>
      </c>
      <c r="T226" s="88">
        <v>4368.5</v>
      </c>
      <c r="U226" s="88">
        <v>7521.9</v>
      </c>
      <c r="V226" s="88">
        <v>6506.3</v>
      </c>
      <c r="W226" s="88">
        <v>5646.9</v>
      </c>
      <c r="X226" s="88">
        <v>4225.7</v>
      </c>
      <c r="Y226" s="88">
        <v>3443.1</v>
      </c>
      <c r="Z226" s="88">
        <v>6268.2</v>
      </c>
      <c r="AA226" s="88">
        <v>6535.7</v>
      </c>
      <c r="AB226" s="88">
        <v>6705.6</v>
      </c>
      <c r="AC226" s="88">
        <v>6360.2</v>
      </c>
      <c r="AD226" s="88">
        <v>5813.3</v>
      </c>
      <c r="AE226" s="88">
        <v>5766.1</v>
      </c>
      <c r="AF226" s="88">
        <v>6105.2</v>
      </c>
      <c r="AG226" s="88">
        <v>6068.9</v>
      </c>
      <c r="AH226" s="88">
        <v>5460.6</v>
      </c>
      <c r="AI226" s="88">
        <v>5371.3</v>
      </c>
      <c r="AJ226" s="88">
        <v>4989.8999999999996</v>
      </c>
    </row>
    <row r="227" spans="1:37" x14ac:dyDescent="0.25">
      <c r="A227" s="12" t="s">
        <v>84</v>
      </c>
      <c r="B227" s="11">
        <v>12.8</v>
      </c>
      <c r="C227" s="11">
        <v>22.5</v>
      </c>
      <c r="D227" s="11">
        <v>42</v>
      </c>
      <c r="E227" s="11">
        <v>39.6</v>
      </c>
      <c r="F227" s="11">
        <v>37.5</v>
      </c>
      <c r="G227" s="11">
        <v>16.8</v>
      </c>
      <c r="H227" s="11">
        <v>8.3000000000000007</v>
      </c>
      <c r="I227" s="12"/>
      <c r="J227" s="12"/>
      <c r="K227" s="12"/>
      <c r="L227" s="12"/>
      <c r="M227" s="12"/>
      <c r="N227" s="12"/>
      <c r="O227" s="12"/>
      <c r="P227" s="12"/>
      <c r="Q227" s="11">
        <v>42</v>
      </c>
      <c r="R227" s="12"/>
      <c r="S227" s="11">
        <v>43.8</v>
      </c>
      <c r="T227" s="11">
        <v>41.3</v>
      </c>
      <c r="U227" s="11">
        <v>39.6</v>
      </c>
      <c r="V227" s="11">
        <v>40.200000000000003</v>
      </c>
      <c r="W227" s="11">
        <v>38.200000000000003</v>
      </c>
      <c r="X227" s="11">
        <v>38.9</v>
      </c>
      <c r="Y227" s="11">
        <v>37.5</v>
      </c>
      <c r="Z227" s="11">
        <v>32.799999999999997</v>
      </c>
      <c r="AA227" s="11">
        <v>26.2</v>
      </c>
      <c r="AB227" s="11">
        <v>18.5</v>
      </c>
      <c r="AC227" s="11">
        <v>16.8</v>
      </c>
      <c r="AD227" s="11">
        <v>14.6</v>
      </c>
      <c r="AE227" s="11">
        <v>11</v>
      </c>
      <c r="AF227" s="11">
        <v>10</v>
      </c>
      <c r="AG227" s="11">
        <v>8.3000000000000007</v>
      </c>
      <c r="AH227" s="11">
        <v>7</v>
      </c>
      <c r="AI227" s="11">
        <v>8</v>
      </c>
      <c r="AJ227" s="11">
        <v>8</v>
      </c>
    </row>
    <row r="228" spans="1:37" x14ac:dyDescent="0.25">
      <c r="A228" s="12" t="s">
        <v>85</v>
      </c>
      <c r="B228" s="11">
        <f>957.6+1069.7</f>
        <v>2027.3000000000002</v>
      </c>
      <c r="C228" s="11">
        <f>957.6+900.6</f>
        <v>1858.2</v>
      </c>
      <c r="D228" s="11">
        <f>957.6+715.8</f>
        <v>1673.4</v>
      </c>
      <c r="E228" s="11">
        <f>957.6+507.9</f>
        <v>1465.5</v>
      </c>
      <c r="F228" s="11">
        <f>957.6+332.3</f>
        <v>1289.9000000000001</v>
      </c>
      <c r="G228" s="11">
        <f>957.6+1665.3</f>
        <v>2622.9</v>
      </c>
      <c r="H228" s="11">
        <v>1479.6</v>
      </c>
      <c r="I228" s="12"/>
      <c r="J228" s="11"/>
      <c r="K228" s="11"/>
      <c r="L228" s="11"/>
      <c r="M228" s="11"/>
      <c r="N228" s="11"/>
      <c r="O228" s="11"/>
      <c r="P228" s="11"/>
      <c r="Q228" s="11">
        <f>957.6+715.8</f>
        <v>1673.4</v>
      </c>
      <c r="R228" s="11"/>
      <c r="S228" s="11">
        <f>957.6+628.8</f>
        <v>1586.4</v>
      </c>
      <c r="T228" s="11">
        <f>957.6+567.5</f>
        <v>1525.1</v>
      </c>
      <c r="U228" s="11">
        <f>957.6+507.9</f>
        <v>1465.5</v>
      </c>
      <c r="V228" s="11">
        <f>957.6+466.3</f>
        <v>1423.9</v>
      </c>
      <c r="W228" s="11">
        <f>957.6+417.6</f>
        <v>1375.2</v>
      </c>
      <c r="X228" s="11">
        <f>957.6+375</f>
        <v>1332.6</v>
      </c>
      <c r="Y228" s="11">
        <f>957.6+332.3</f>
        <v>1289.9000000000001</v>
      </c>
      <c r="Z228" s="11">
        <f>957.6+1866.8</f>
        <v>2824.4</v>
      </c>
      <c r="AA228" s="11">
        <f>957.6+1846</f>
        <v>2803.6</v>
      </c>
      <c r="AB228" s="11">
        <f>957.6+1815.8</f>
        <v>2773.4</v>
      </c>
      <c r="AC228" s="11">
        <f>957.6+1665.3</f>
        <v>2622.9</v>
      </c>
      <c r="AD228" s="11">
        <f>957.6+1520.6</f>
        <v>2478.1999999999998</v>
      </c>
      <c r="AE228" s="11">
        <f>957.6+1734.4</f>
        <v>2692</v>
      </c>
      <c r="AF228" s="11">
        <f>957.6+1613.7</f>
        <v>2571.3000000000002</v>
      </c>
      <c r="AG228" s="11">
        <v>1479.6</v>
      </c>
      <c r="AH228" s="11">
        <v>1371.8</v>
      </c>
      <c r="AI228" s="11">
        <v>1267.5</v>
      </c>
      <c r="AJ228" s="11">
        <v>1134.7</v>
      </c>
    </row>
    <row r="229" spans="1:37" x14ac:dyDescent="0.25">
      <c r="A229" s="12" t="s">
        <v>86</v>
      </c>
      <c r="B229" s="11">
        <v>0</v>
      </c>
      <c r="C229" s="11">
        <v>0</v>
      </c>
      <c r="D229" s="11">
        <v>0</v>
      </c>
      <c r="E229" s="11">
        <v>400</v>
      </c>
      <c r="F229" s="11">
        <v>400</v>
      </c>
      <c r="G229" s="11">
        <v>0</v>
      </c>
      <c r="H229" s="11">
        <v>0</v>
      </c>
      <c r="I229" s="12"/>
      <c r="J229" s="11"/>
      <c r="K229" s="11"/>
      <c r="L229" s="11"/>
      <c r="M229" s="11"/>
      <c r="N229" s="11"/>
      <c r="O229" s="11"/>
      <c r="P229" s="11"/>
      <c r="Q229" s="11">
        <v>0</v>
      </c>
      <c r="R229" s="11"/>
      <c r="S229" s="11">
        <v>0</v>
      </c>
      <c r="T229" s="11">
        <v>400</v>
      </c>
      <c r="U229" s="11">
        <v>400</v>
      </c>
      <c r="V229" s="11">
        <v>400</v>
      </c>
      <c r="W229" s="11">
        <v>400</v>
      </c>
      <c r="X229" s="11">
        <v>400</v>
      </c>
      <c r="Y229" s="11">
        <v>400</v>
      </c>
      <c r="Z229" s="11">
        <v>400</v>
      </c>
      <c r="AA229" s="11">
        <v>400</v>
      </c>
      <c r="AB229" s="11">
        <v>0</v>
      </c>
      <c r="AC229" s="11">
        <v>0</v>
      </c>
      <c r="AD229" s="11">
        <v>0</v>
      </c>
      <c r="AE229" s="11">
        <v>0</v>
      </c>
      <c r="AF229" s="11">
        <v>0</v>
      </c>
      <c r="AG229" s="11">
        <v>0</v>
      </c>
      <c r="AH229" s="11">
        <v>0</v>
      </c>
      <c r="AI229" s="11">
        <v>0</v>
      </c>
      <c r="AJ229" s="11">
        <v>0</v>
      </c>
    </row>
    <row r="230" spans="1:37" x14ac:dyDescent="0.25">
      <c r="A230" s="12" t="s">
        <v>38</v>
      </c>
      <c r="B230" s="12">
        <f t="shared" ref="B230:G230" si="479">B231-SUM(B227:B229)</f>
        <v>11.599999999999682</v>
      </c>
      <c r="C230" s="12">
        <f t="shared" si="479"/>
        <v>6.0999999999999091</v>
      </c>
      <c r="D230" s="12">
        <f t="shared" si="479"/>
        <v>6</v>
      </c>
      <c r="E230" s="12">
        <f t="shared" si="479"/>
        <v>120.30000000000018</v>
      </c>
      <c r="F230" s="12">
        <f t="shared" si="479"/>
        <v>110</v>
      </c>
      <c r="G230" s="12">
        <f t="shared" si="479"/>
        <v>45.799999999999727</v>
      </c>
      <c r="H230" s="12">
        <f>H231-SUM(H227:H229)</f>
        <v>16.900000000000091</v>
      </c>
      <c r="I230" s="15"/>
      <c r="J230" s="12"/>
      <c r="K230" s="12"/>
      <c r="L230" s="12"/>
      <c r="M230" s="12"/>
      <c r="N230" s="12"/>
      <c r="O230" s="12"/>
      <c r="P230" s="12"/>
      <c r="Q230" s="12">
        <f>Q231-SUM(Q227:Q229)</f>
        <v>6</v>
      </c>
      <c r="R230" s="12"/>
      <c r="S230" s="12">
        <f t="shared" ref="S230:AE230" si="480">S231-SUM(S227:S229)</f>
        <v>116.39999999999986</v>
      </c>
      <c r="T230" s="12">
        <f t="shared" si="480"/>
        <v>107.60000000000014</v>
      </c>
      <c r="U230" s="12">
        <f t="shared" si="480"/>
        <v>120.30000000000018</v>
      </c>
      <c r="V230" s="12">
        <f t="shared" si="480"/>
        <v>118.49999999999977</v>
      </c>
      <c r="W230" s="12">
        <f t="shared" si="480"/>
        <v>119.79999999999995</v>
      </c>
      <c r="X230" s="12">
        <f t="shared" si="480"/>
        <v>117.90000000000009</v>
      </c>
      <c r="Y230" s="12">
        <f t="shared" si="480"/>
        <v>110</v>
      </c>
      <c r="Z230" s="12">
        <f t="shared" si="480"/>
        <v>102.19999999999982</v>
      </c>
      <c r="AA230" s="12">
        <f t="shared" si="480"/>
        <v>98.000000000000455</v>
      </c>
      <c r="AB230" s="12">
        <f t="shared" si="480"/>
        <v>46.799999999999727</v>
      </c>
      <c r="AC230" s="12">
        <f t="shared" si="480"/>
        <v>45.799999999999727</v>
      </c>
      <c r="AD230" s="12">
        <f t="shared" si="480"/>
        <v>33.500000000000455</v>
      </c>
      <c r="AE230" s="12">
        <f t="shared" si="480"/>
        <v>33.300000000000182</v>
      </c>
      <c r="AF230" s="12">
        <f>AF231-SUM(AF227:AF229)</f>
        <v>28</v>
      </c>
      <c r="AG230" s="12">
        <f t="shared" ref="AG230:AJ230" si="481">AG231-SUM(AG227:AG229)</f>
        <v>16.900000000000091</v>
      </c>
      <c r="AH230" s="12">
        <f t="shared" si="481"/>
        <v>12.100000000000136</v>
      </c>
      <c r="AI230" s="12">
        <f t="shared" si="481"/>
        <v>7.4000000000000909</v>
      </c>
      <c r="AJ230" s="12">
        <f t="shared" si="481"/>
        <v>3.2999999999999545</v>
      </c>
    </row>
    <row r="231" spans="1:37" x14ac:dyDescent="0.25">
      <c r="A231" s="48" t="s">
        <v>87</v>
      </c>
      <c r="B231" s="88">
        <v>2051.6999999999998</v>
      </c>
      <c r="C231" s="88">
        <v>1886.8</v>
      </c>
      <c r="D231" s="88">
        <v>1721.4</v>
      </c>
      <c r="E231" s="88">
        <v>2025.4</v>
      </c>
      <c r="F231" s="88">
        <v>1837.4</v>
      </c>
      <c r="G231" s="88">
        <v>2685.5</v>
      </c>
      <c r="H231" s="88">
        <v>1504.8</v>
      </c>
      <c r="I231" s="12"/>
      <c r="J231" s="88"/>
      <c r="K231" s="88"/>
      <c r="L231" s="88"/>
      <c r="M231" s="88"/>
      <c r="N231" s="88"/>
      <c r="O231" s="88"/>
      <c r="P231" s="88"/>
      <c r="Q231" s="88">
        <v>1721.4</v>
      </c>
      <c r="R231" s="88"/>
      <c r="S231" s="88">
        <v>1746.6</v>
      </c>
      <c r="T231" s="88">
        <v>2074</v>
      </c>
      <c r="U231" s="88">
        <v>2025.4</v>
      </c>
      <c r="V231" s="88">
        <v>1982.6</v>
      </c>
      <c r="W231" s="88">
        <v>1933.2</v>
      </c>
      <c r="X231" s="88">
        <v>1889.4</v>
      </c>
      <c r="Y231" s="88">
        <v>1837.4</v>
      </c>
      <c r="Z231" s="88">
        <v>3359.4</v>
      </c>
      <c r="AA231" s="88">
        <v>3327.8</v>
      </c>
      <c r="AB231" s="88">
        <v>2838.7</v>
      </c>
      <c r="AC231" s="88">
        <v>2685.5</v>
      </c>
      <c r="AD231" s="88">
        <v>2526.3000000000002</v>
      </c>
      <c r="AE231" s="88">
        <v>2736.3</v>
      </c>
      <c r="AF231" s="88">
        <v>2609.3000000000002</v>
      </c>
      <c r="AG231" s="88">
        <v>1504.8</v>
      </c>
      <c r="AH231" s="88">
        <v>1390.9</v>
      </c>
      <c r="AI231" s="88">
        <v>1282.9000000000001</v>
      </c>
      <c r="AJ231" s="88">
        <v>1146</v>
      </c>
    </row>
    <row r="232" spans="1:37" x14ac:dyDescent="0.25">
      <c r="A232" s="12" t="s">
        <v>88</v>
      </c>
      <c r="B232" s="12">
        <f t="shared" ref="B232:G232" si="482">+B231+B226</f>
        <v>4412</v>
      </c>
      <c r="C232" s="12">
        <f t="shared" si="482"/>
        <v>5646.7</v>
      </c>
      <c r="D232" s="12">
        <f t="shared" si="482"/>
        <v>4286</v>
      </c>
      <c r="E232" s="12">
        <f t="shared" si="482"/>
        <v>9547.2999999999993</v>
      </c>
      <c r="F232" s="12">
        <f t="shared" si="482"/>
        <v>5280.5</v>
      </c>
      <c r="G232" s="12">
        <f t="shared" si="482"/>
        <v>9045.7000000000007</v>
      </c>
      <c r="H232" s="12">
        <f>+H231+H226</f>
        <v>7573.7</v>
      </c>
      <c r="I232" s="12"/>
      <c r="J232" s="12"/>
      <c r="K232" s="12"/>
      <c r="L232" s="12"/>
      <c r="M232" s="12"/>
      <c r="N232" s="12"/>
      <c r="O232" s="12"/>
      <c r="P232" s="12"/>
      <c r="Q232" s="12">
        <f>+Q231+Q226</f>
        <v>4286</v>
      </c>
      <c r="R232" s="12"/>
      <c r="S232" s="12">
        <f t="shared" ref="S232:X232" si="483">+S231+S226</f>
        <v>6815.4</v>
      </c>
      <c r="T232" s="12">
        <f t="shared" si="483"/>
        <v>6442.5</v>
      </c>
      <c r="U232" s="12">
        <f t="shared" si="483"/>
        <v>9547.2999999999993</v>
      </c>
      <c r="V232" s="12">
        <f t="shared" si="483"/>
        <v>8488.9</v>
      </c>
      <c r="W232" s="12">
        <f t="shared" si="483"/>
        <v>7580.0999999999995</v>
      </c>
      <c r="X232" s="12">
        <f t="shared" si="483"/>
        <v>6115.1</v>
      </c>
      <c r="Y232" s="12">
        <f>+Y231+Y226</f>
        <v>5280.5</v>
      </c>
      <c r="Z232" s="12">
        <f>+Z231+Z226</f>
        <v>9627.6</v>
      </c>
      <c r="AA232" s="12">
        <f>+AA231+AA226</f>
        <v>9863.5</v>
      </c>
      <c r="AB232" s="12">
        <f>+AB231+AB226</f>
        <v>9544.2999999999993</v>
      </c>
      <c r="AC232" s="12">
        <f t="shared" ref="AC232:AE232" si="484">+AC231+AC226</f>
        <v>9045.7000000000007</v>
      </c>
      <c r="AD232" s="12">
        <f t="shared" si="484"/>
        <v>8339.6</v>
      </c>
      <c r="AE232" s="12">
        <f t="shared" si="484"/>
        <v>8502.4000000000015</v>
      </c>
      <c r="AF232" s="12">
        <f>+AF231+AF226</f>
        <v>8714.5</v>
      </c>
      <c r="AG232" s="12">
        <f t="shared" ref="AG232:AJ232" si="485">+AG231+AG226</f>
        <v>7573.7</v>
      </c>
      <c r="AH232" s="12">
        <f t="shared" si="485"/>
        <v>6851.5</v>
      </c>
      <c r="AI232" s="12">
        <f t="shared" si="485"/>
        <v>6654.2000000000007</v>
      </c>
      <c r="AJ232" s="12">
        <f t="shared" si="485"/>
        <v>6135.9</v>
      </c>
    </row>
    <row r="233" spans="1:37" x14ac:dyDescent="0.2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row>
    <row r="234" spans="1:37" x14ac:dyDescent="0.25">
      <c r="A234" s="12" t="s">
        <v>89</v>
      </c>
      <c r="B234" s="11">
        <v>354.4</v>
      </c>
      <c r="C234" s="11">
        <v>0</v>
      </c>
      <c r="D234" s="11">
        <v>0</v>
      </c>
      <c r="E234" s="11">
        <f>600+170</f>
        <v>770</v>
      </c>
      <c r="F234" s="11">
        <v>100</v>
      </c>
      <c r="G234" s="11">
        <v>100</v>
      </c>
      <c r="H234" s="11">
        <v>0</v>
      </c>
      <c r="I234" s="12"/>
      <c r="J234" s="11"/>
      <c r="K234" s="11"/>
      <c r="L234" s="11"/>
      <c r="M234" s="11"/>
      <c r="N234" s="11"/>
      <c r="O234" s="11"/>
      <c r="P234" s="11"/>
      <c r="Q234" s="11">
        <v>0</v>
      </c>
      <c r="R234" s="11"/>
      <c r="S234" s="11">
        <v>350</v>
      </c>
      <c r="T234" s="11">
        <v>550</v>
      </c>
      <c r="U234" s="11">
        <f>600+170</f>
        <v>770</v>
      </c>
      <c r="V234" s="11">
        <f>500+170</f>
        <v>670</v>
      </c>
      <c r="W234" s="11">
        <f>400+170</f>
        <v>570</v>
      </c>
      <c r="X234" s="11">
        <f>200+170</f>
        <v>370</v>
      </c>
      <c r="Y234" s="11">
        <v>100</v>
      </c>
      <c r="Z234" s="11">
        <v>100</v>
      </c>
      <c r="AA234" s="11">
        <f>100+500</f>
        <v>600</v>
      </c>
      <c r="AB234" s="11">
        <f>100+500</f>
        <v>600</v>
      </c>
      <c r="AC234" s="11">
        <v>100</v>
      </c>
      <c r="AD234" s="11">
        <v>100</v>
      </c>
      <c r="AE234" s="11">
        <v>0</v>
      </c>
      <c r="AF234" s="11">
        <v>0</v>
      </c>
      <c r="AG234" s="11">
        <v>0</v>
      </c>
      <c r="AH234" s="11">
        <v>0</v>
      </c>
      <c r="AI234" s="11">
        <v>0</v>
      </c>
      <c r="AJ234" s="11">
        <v>0</v>
      </c>
    </row>
    <row r="235" spans="1:37" x14ac:dyDescent="0.25">
      <c r="A235" s="12" t="s">
        <v>223</v>
      </c>
      <c r="B235" s="11">
        <f>38.2+7.1</f>
        <v>45.300000000000004</v>
      </c>
      <c r="C235" s="11">
        <f>54.3+8.6</f>
        <v>62.9</v>
      </c>
      <c r="D235" s="11">
        <f>82.8+9.9</f>
        <v>92.7</v>
      </c>
      <c r="E235" s="11">
        <f>52.9+13.8</f>
        <v>66.7</v>
      </c>
      <c r="F235" s="11">
        <f>71.7+9.8</f>
        <v>81.5</v>
      </c>
      <c r="G235" s="11">
        <f>147+9.7</f>
        <v>156.69999999999999</v>
      </c>
      <c r="H235" s="11">
        <f>190+5</f>
        <v>195</v>
      </c>
      <c r="I235" s="12" t="s">
        <v>90</v>
      </c>
      <c r="J235" s="11"/>
      <c r="K235" s="11"/>
      <c r="L235" s="11"/>
      <c r="M235" s="11"/>
      <c r="N235" s="11"/>
      <c r="O235" s="11"/>
      <c r="P235" s="11"/>
      <c r="Q235" s="11">
        <f>82.8+9.9</f>
        <v>92.7</v>
      </c>
      <c r="R235" s="11"/>
      <c r="S235" s="11">
        <f>37.6+11.4</f>
        <v>49</v>
      </c>
      <c r="T235" s="11">
        <f>37.5+11.5</f>
        <v>49</v>
      </c>
      <c r="U235" s="11">
        <f>52.9+13.8</f>
        <v>66.7</v>
      </c>
      <c r="V235" s="11">
        <f>46.7+6.1</f>
        <v>52.800000000000004</v>
      </c>
      <c r="W235" s="11">
        <f>53.9+7.2</f>
        <v>61.1</v>
      </c>
      <c r="X235" s="11">
        <f>63.5+6.4</f>
        <v>69.900000000000006</v>
      </c>
      <c r="Y235" s="11">
        <f>71.7+9.8</f>
        <v>81.5</v>
      </c>
      <c r="Z235" s="11">
        <f>115.6+11.1</f>
        <v>126.69999999999999</v>
      </c>
      <c r="AA235" s="11">
        <f>134.1+17.9</f>
        <v>152</v>
      </c>
      <c r="AB235" s="11">
        <f>124.3+9.8</f>
        <v>134.1</v>
      </c>
      <c r="AC235" s="11">
        <f>147+9.7</f>
        <v>156.69999999999999</v>
      </c>
      <c r="AD235" s="11">
        <f>108.4+10.9</f>
        <v>119.30000000000001</v>
      </c>
      <c r="AE235" s="11">
        <f>132+10.3</f>
        <v>142.30000000000001</v>
      </c>
      <c r="AF235" s="11">
        <f>245.6+5.4</f>
        <v>251</v>
      </c>
      <c r="AG235" s="11">
        <f>190+5</f>
        <v>195</v>
      </c>
      <c r="AH235" s="11">
        <f>102.2+8.7</f>
        <v>110.9</v>
      </c>
      <c r="AI235" s="11">
        <f>78.5+11.5</f>
        <v>90</v>
      </c>
      <c r="AJ235" s="11">
        <v>9</v>
      </c>
      <c r="AK235" s="12" t="s">
        <v>90</v>
      </c>
    </row>
    <row r="236" spans="1:37" x14ac:dyDescent="0.25">
      <c r="A236" s="12" t="s">
        <v>91</v>
      </c>
      <c r="B236" s="11">
        <v>265</v>
      </c>
      <c r="C236" s="11">
        <v>280</v>
      </c>
      <c r="D236" s="11">
        <v>381.3</v>
      </c>
      <c r="E236" s="11">
        <f>717.4</f>
        <v>717.4</v>
      </c>
      <c r="F236" s="11">
        <v>580.9</v>
      </c>
      <c r="G236" s="11">
        <v>794.3</v>
      </c>
      <c r="H236" s="11">
        <v>867.3</v>
      </c>
      <c r="I236" s="12"/>
      <c r="J236" s="11"/>
      <c r="K236" s="11"/>
      <c r="L236" s="11"/>
      <c r="M236" s="11"/>
      <c r="N236" s="11"/>
      <c r="O236" s="11"/>
      <c r="P236" s="11"/>
      <c r="Q236" s="11">
        <v>381.3</v>
      </c>
      <c r="R236" s="11"/>
      <c r="S236" s="11">
        <v>566.20000000000005</v>
      </c>
      <c r="T236" s="11">
        <v>436.7</v>
      </c>
      <c r="U236" s="11">
        <f>717.4</f>
        <v>717.4</v>
      </c>
      <c r="V236" s="11">
        <v>666.9</v>
      </c>
      <c r="W236" s="11">
        <v>488.7</v>
      </c>
      <c r="X236" s="11">
        <v>459.9</v>
      </c>
      <c r="Y236" s="11">
        <v>580.9</v>
      </c>
      <c r="Z236" s="11">
        <v>506.7</v>
      </c>
      <c r="AA236" s="11">
        <v>609.4</v>
      </c>
      <c r="AB236" s="11">
        <v>602.29999999999995</v>
      </c>
      <c r="AC236" s="11">
        <v>794.3</v>
      </c>
      <c r="AD236" s="11">
        <v>700.9</v>
      </c>
      <c r="AE236" s="11">
        <v>684.6</v>
      </c>
      <c r="AF236" s="11">
        <v>755.6</v>
      </c>
      <c r="AG236" s="11">
        <v>867.3</v>
      </c>
      <c r="AH236" s="11">
        <v>822.2</v>
      </c>
      <c r="AI236" s="11">
        <v>934.4</v>
      </c>
      <c r="AJ236" s="11">
        <v>839.4</v>
      </c>
    </row>
    <row r="237" spans="1:37" x14ac:dyDescent="0.25">
      <c r="A237" s="12" t="s">
        <v>92</v>
      </c>
      <c r="B237" s="11">
        <v>258.10000000000002</v>
      </c>
      <c r="C237" s="11">
        <v>229.9</v>
      </c>
      <c r="D237" s="11">
        <v>366.2</v>
      </c>
      <c r="E237" s="11">
        <v>814.9</v>
      </c>
      <c r="F237" s="11">
        <v>620.4</v>
      </c>
      <c r="G237" s="11">
        <v>931.9</v>
      </c>
      <c r="H237" s="11">
        <v>922.4</v>
      </c>
      <c r="I237" s="12"/>
      <c r="J237" s="11"/>
      <c r="K237" s="11"/>
      <c r="L237" s="11"/>
      <c r="M237" s="11"/>
      <c r="N237" s="11"/>
      <c r="O237" s="11"/>
      <c r="P237" s="11"/>
      <c r="Q237" s="11">
        <v>366.2</v>
      </c>
      <c r="R237" s="11"/>
      <c r="S237" s="11">
        <v>439</v>
      </c>
      <c r="T237" s="11">
        <v>480.3</v>
      </c>
      <c r="U237" s="11">
        <v>814.9</v>
      </c>
      <c r="V237" s="11">
        <v>597.4</v>
      </c>
      <c r="W237" s="11">
        <v>555.6</v>
      </c>
      <c r="X237" s="11">
        <v>483.6</v>
      </c>
      <c r="Y237" s="11">
        <v>620.4</v>
      </c>
      <c r="Z237" s="11">
        <v>571.79999999999995</v>
      </c>
      <c r="AA237" s="11">
        <v>657.3</v>
      </c>
      <c r="AB237" s="11">
        <v>770.1</v>
      </c>
      <c r="AC237" s="11">
        <v>931.9</v>
      </c>
      <c r="AD237" s="11">
        <v>707.2</v>
      </c>
      <c r="AE237" s="11">
        <v>671.6</v>
      </c>
      <c r="AF237" s="11">
        <v>843.9</v>
      </c>
      <c r="AG237" s="11">
        <v>922.4</v>
      </c>
      <c r="AH237" s="11">
        <v>637.5</v>
      </c>
      <c r="AI237" s="11">
        <v>663.3</v>
      </c>
      <c r="AJ237" s="11">
        <v>540.5</v>
      </c>
    </row>
    <row r="238" spans="1:37" x14ac:dyDescent="0.25">
      <c r="A238" s="12" t="s">
        <v>38</v>
      </c>
      <c r="B238" s="12">
        <f t="shared" ref="B238:G238" si="486">B239-SUM(B234:B237)</f>
        <v>0.19999999999993179</v>
      </c>
      <c r="C238" s="12">
        <f t="shared" si="486"/>
        <v>0.20000000000004547</v>
      </c>
      <c r="D238" s="12">
        <f t="shared" si="486"/>
        <v>9.9999999999909051E-2</v>
      </c>
      <c r="E238" s="12">
        <f t="shared" si="486"/>
        <v>41.900000000000091</v>
      </c>
      <c r="F238" s="12">
        <f t="shared" si="486"/>
        <v>35.900000000000091</v>
      </c>
      <c r="G238" s="12">
        <f t="shared" si="486"/>
        <v>24.599999999999909</v>
      </c>
      <c r="H238" s="12">
        <f>H239-SUM(H234:H237)</f>
        <v>14.800000000000182</v>
      </c>
      <c r="I238" s="15"/>
      <c r="J238" s="12"/>
      <c r="K238" s="12"/>
      <c r="L238" s="12"/>
      <c r="M238" s="12"/>
      <c r="N238" s="12"/>
      <c r="O238" s="12"/>
      <c r="P238" s="12"/>
      <c r="Q238" s="12">
        <f>Q239-SUM(Q234:Q237)</f>
        <v>9.9999999999909051E-2</v>
      </c>
      <c r="R238" s="12"/>
      <c r="S238" s="12">
        <f t="shared" ref="S238:X238" si="487">S239-SUM(S234:S237)</f>
        <v>41.299999999999955</v>
      </c>
      <c r="T238" s="12">
        <f t="shared" si="487"/>
        <v>41.299999999999955</v>
      </c>
      <c r="U238" s="12">
        <f t="shared" si="487"/>
        <v>41.900000000000091</v>
      </c>
      <c r="V238" s="12">
        <f t="shared" si="487"/>
        <v>40.600000000000136</v>
      </c>
      <c r="W238" s="12">
        <f t="shared" si="487"/>
        <v>41.099999999999909</v>
      </c>
      <c r="X238" s="12">
        <f t="shared" si="487"/>
        <v>39.699999999999818</v>
      </c>
      <c r="Y238" s="12">
        <f>Y239-SUM(Y234:Y237)</f>
        <v>35.900000000000091</v>
      </c>
      <c r="Z238" s="12">
        <f>Z239-SUM(Z234:Z237)</f>
        <v>32.500000000000227</v>
      </c>
      <c r="AA238" s="12">
        <f>AA239-SUM(AA234:AA237)</f>
        <v>29.899999999999864</v>
      </c>
      <c r="AB238" s="12">
        <f>AB239-SUM(AB234:AB237)</f>
        <v>23.199999999999818</v>
      </c>
      <c r="AC238" s="12">
        <f t="shared" ref="AC238:AE238" si="488">AC239-SUM(AC234:AC237)</f>
        <v>24.599999999999909</v>
      </c>
      <c r="AD238" s="12">
        <f t="shared" si="488"/>
        <v>20.699999999999818</v>
      </c>
      <c r="AE238" s="12">
        <f t="shared" si="488"/>
        <v>18.200000000000045</v>
      </c>
      <c r="AF238" s="12">
        <f>AF239-SUM(AF234:AF237)</f>
        <v>19.400000000000091</v>
      </c>
      <c r="AG238" s="12">
        <f t="shared" ref="AG238:AJ238" si="489">AG239-SUM(AG234:AG237)</f>
        <v>14.800000000000182</v>
      </c>
      <c r="AH238" s="12">
        <f t="shared" si="489"/>
        <v>10.200000000000045</v>
      </c>
      <c r="AI238" s="12">
        <f t="shared" si="489"/>
        <v>5.7999999999999545</v>
      </c>
      <c r="AJ238" s="12">
        <f t="shared" si="489"/>
        <v>1.5</v>
      </c>
    </row>
    <row r="239" spans="1:37" x14ac:dyDescent="0.25">
      <c r="A239" s="48" t="s">
        <v>93</v>
      </c>
      <c r="B239" s="88">
        <v>923</v>
      </c>
      <c r="C239" s="88">
        <v>573</v>
      </c>
      <c r="D239" s="88">
        <v>840.3</v>
      </c>
      <c r="E239" s="88">
        <v>2410.9</v>
      </c>
      <c r="F239" s="88">
        <v>1418.7</v>
      </c>
      <c r="G239" s="88">
        <v>2007.5</v>
      </c>
      <c r="H239" s="88">
        <v>1999.5</v>
      </c>
      <c r="I239" s="12"/>
      <c r="J239" s="88"/>
      <c r="K239" s="88"/>
      <c r="L239" s="88"/>
      <c r="M239" s="88"/>
      <c r="N239" s="88"/>
      <c r="O239" s="88"/>
      <c r="P239" s="88"/>
      <c r="Q239" s="88">
        <v>840.3</v>
      </c>
      <c r="R239" s="88"/>
      <c r="S239" s="88">
        <v>1445.5</v>
      </c>
      <c r="T239" s="88">
        <v>1557.3</v>
      </c>
      <c r="U239" s="88">
        <v>2410.9</v>
      </c>
      <c r="V239" s="88">
        <v>2027.7</v>
      </c>
      <c r="W239" s="88">
        <v>1716.5</v>
      </c>
      <c r="X239" s="88">
        <v>1423.1</v>
      </c>
      <c r="Y239" s="88">
        <v>1418.7</v>
      </c>
      <c r="Z239" s="88">
        <v>1337.7</v>
      </c>
      <c r="AA239" s="88">
        <v>2048.6</v>
      </c>
      <c r="AB239" s="88">
        <v>2129.6999999999998</v>
      </c>
      <c r="AC239" s="88">
        <v>2007.5</v>
      </c>
      <c r="AD239" s="88">
        <v>1648.1</v>
      </c>
      <c r="AE239" s="88">
        <v>1516.7</v>
      </c>
      <c r="AF239" s="88">
        <v>1869.9</v>
      </c>
      <c r="AG239" s="88">
        <v>1999.5</v>
      </c>
      <c r="AH239" s="88">
        <v>1580.8</v>
      </c>
      <c r="AI239" s="88">
        <v>1693.5</v>
      </c>
      <c r="AJ239" s="88">
        <v>1390.4</v>
      </c>
    </row>
    <row r="240" spans="1:37" x14ac:dyDescent="0.2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row>
    <row r="241" spans="1:36" x14ac:dyDescent="0.25">
      <c r="A241" s="12" t="s">
        <v>94</v>
      </c>
      <c r="B241" s="12">
        <v>0</v>
      </c>
      <c r="C241" s="11">
        <v>0</v>
      </c>
      <c r="D241" s="11">
        <v>0</v>
      </c>
      <c r="E241" s="11">
        <v>0</v>
      </c>
      <c r="F241" s="11">
        <v>0</v>
      </c>
      <c r="G241" s="11">
        <v>0</v>
      </c>
      <c r="H241" s="11">
        <v>0</v>
      </c>
      <c r="I241" s="12"/>
      <c r="J241" s="11"/>
      <c r="K241" s="11"/>
      <c r="L241" s="11"/>
      <c r="M241" s="11"/>
      <c r="N241" s="11"/>
      <c r="O241" s="11"/>
      <c r="P241" s="11"/>
      <c r="Q241" s="11">
        <v>0</v>
      </c>
      <c r="R241" s="11"/>
      <c r="S241" s="11">
        <v>0</v>
      </c>
      <c r="T241" s="11">
        <v>0</v>
      </c>
      <c r="U241" s="11">
        <v>0</v>
      </c>
      <c r="V241" s="11">
        <v>0</v>
      </c>
      <c r="W241" s="11">
        <v>0</v>
      </c>
      <c r="X241" s="11">
        <v>0</v>
      </c>
      <c r="Y241" s="11">
        <v>0</v>
      </c>
      <c r="Z241" s="11">
        <v>0</v>
      </c>
      <c r="AA241" s="11">
        <v>0</v>
      </c>
      <c r="AB241" s="11">
        <v>0</v>
      </c>
      <c r="AC241" s="11">
        <v>0</v>
      </c>
      <c r="AD241" s="11">
        <v>0</v>
      </c>
      <c r="AE241" s="11">
        <v>0</v>
      </c>
      <c r="AF241" s="11">
        <v>0</v>
      </c>
      <c r="AG241" s="11">
        <v>0</v>
      </c>
      <c r="AH241" s="11">
        <v>0</v>
      </c>
      <c r="AI241" s="11">
        <v>0</v>
      </c>
      <c r="AJ241" s="11">
        <v>0</v>
      </c>
    </row>
    <row r="242" spans="1:36" x14ac:dyDescent="0.25">
      <c r="A242" s="12" t="s">
        <v>95</v>
      </c>
      <c r="B242" s="12">
        <v>0</v>
      </c>
      <c r="C242" s="11">
        <v>0</v>
      </c>
      <c r="D242" s="11">
        <v>0</v>
      </c>
      <c r="E242" s="11">
        <v>69.5</v>
      </c>
      <c r="F242" s="11">
        <v>46.2</v>
      </c>
      <c r="G242" s="11">
        <v>16.5</v>
      </c>
      <c r="H242" s="11">
        <v>0.4</v>
      </c>
      <c r="I242" s="12"/>
      <c r="J242" s="11"/>
      <c r="K242" s="11"/>
      <c r="L242" s="11"/>
      <c r="M242" s="11"/>
      <c r="N242" s="11"/>
      <c r="O242" s="11"/>
      <c r="P242" s="11"/>
      <c r="Q242" s="11">
        <v>0</v>
      </c>
      <c r="R242" s="11"/>
      <c r="S242" s="11">
        <v>68.7</v>
      </c>
      <c r="T242" s="11">
        <v>61</v>
      </c>
      <c r="U242" s="11">
        <v>69.5</v>
      </c>
      <c r="V242" s="11">
        <v>61.6</v>
      </c>
      <c r="W242" s="11">
        <v>59.3</v>
      </c>
      <c r="X242" s="11">
        <v>53.9</v>
      </c>
      <c r="Y242" s="11">
        <v>46.2</v>
      </c>
      <c r="Z242" s="11">
        <v>38.799999999999997</v>
      </c>
      <c r="AA242" s="11">
        <v>32.1</v>
      </c>
      <c r="AB242" s="11">
        <v>19.899999999999999</v>
      </c>
      <c r="AC242" s="11">
        <v>16.5</v>
      </c>
      <c r="AD242" s="11">
        <v>9.1</v>
      </c>
      <c r="AE242" s="11">
        <v>4.9000000000000004</v>
      </c>
      <c r="AF242" s="11">
        <v>0.6</v>
      </c>
      <c r="AG242" s="11">
        <v>0.4</v>
      </c>
      <c r="AH242" s="11">
        <v>0</v>
      </c>
      <c r="AI242" s="11">
        <v>0</v>
      </c>
      <c r="AJ242" s="11">
        <v>0</v>
      </c>
    </row>
    <row r="243" spans="1:36" x14ac:dyDescent="0.25">
      <c r="A243" s="12" t="s">
        <v>38</v>
      </c>
      <c r="B243" s="12">
        <f t="shared" ref="B243:G243" si="490">B244-SUM(B241:B242)</f>
        <v>80.299999999999955</v>
      </c>
      <c r="C243" s="12">
        <f t="shared" si="490"/>
        <v>52.700000000000045</v>
      </c>
      <c r="D243" s="12">
        <f t="shared" si="490"/>
        <v>43.700000000000045</v>
      </c>
      <c r="E243" s="12">
        <f t="shared" si="490"/>
        <v>38.599999999999909</v>
      </c>
      <c r="F243" s="12">
        <f t="shared" si="490"/>
        <v>27.000000000000043</v>
      </c>
      <c r="G243" s="12">
        <f t="shared" si="490"/>
        <v>22</v>
      </c>
      <c r="H243" s="12">
        <f>H244-SUM(H241:H242)</f>
        <v>17.000000000000092</v>
      </c>
      <c r="I243" s="15"/>
      <c r="J243" s="12"/>
      <c r="K243" s="12"/>
      <c r="L243" s="12"/>
      <c r="M243" s="12"/>
      <c r="N243" s="12"/>
      <c r="O243" s="12"/>
      <c r="P243" s="12"/>
      <c r="Q243" s="12">
        <f>Q244-SUM(Q241:Q242)</f>
        <v>43.700000000000045</v>
      </c>
      <c r="R243" s="12"/>
      <c r="S243" s="12">
        <f t="shared" ref="S243:X243" si="491">S244-SUM(S241:S242)</f>
        <v>41.200000000000088</v>
      </c>
      <c r="T243" s="12">
        <f t="shared" si="491"/>
        <v>39.900000000000091</v>
      </c>
      <c r="U243" s="12">
        <f t="shared" si="491"/>
        <v>38.599999999999909</v>
      </c>
      <c r="V243" s="12">
        <f t="shared" si="491"/>
        <v>37.399999999999771</v>
      </c>
      <c r="W243" s="12">
        <f t="shared" si="491"/>
        <v>36.100000000000094</v>
      </c>
      <c r="X243" s="12">
        <f t="shared" si="491"/>
        <v>34.800000000000047</v>
      </c>
      <c r="Y243" s="12">
        <f>Y244-SUM(Y241:Y242)</f>
        <v>27.000000000000043</v>
      </c>
      <c r="Z243" s="12">
        <f>Z244-SUM(Z241:Z242)</f>
        <v>25.799999999999912</v>
      </c>
      <c r="AA243" s="12">
        <f>AA244-SUM(AA241:AA242)</f>
        <v>24.600000000000271</v>
      </c>
      <c r="AB243" s="12">
        <f>AB244-SUM(AB241:AB242)</f>
        <v>23.300000000000274</v>
      </c>
      <c r="AC243" s="12">
        <f t="shared" ref="AC243:AE243" si="492">AC244-SUM(AC241:AC242)</f>
        <v>22</v>
      </c>
      <c r="AD243" s="12">
        <f t="shared" si="492"/>
        <v>20.80000000000009</v>
      </c>
      <c r="AE243" s="12">
        <f t="shared" si="492"/>
        <v>19.600000000000001</v>
      </c>
      <c r="AF243" s="12">
        <f>AF244-SUM(AF241:AF242)</f>
        <v>18.299999999999862</v>
      </c>
      <c r="AG243" s="12">
        <f t="shared" ref="AG243:AJ243" si="493">AG244-SUM(AG241:AG242)</f>
        <v>17.000000000000092</v>
      </c>
      <c r="AH243" s="12">
        <f t="shared" si="493"/>
        <v>15</v>
      </c>
      <c r="AI243" s="12">
        <f t="shared" si="493"/>
        <v>12.799999999999955</v>
      </c>
      <c r="AJ243" s="12">
        <f t="shared" si="493"/>
        <v>11.199999999999818</v>
      </c>
    </row>
    <row r="244" spans="1:36" x14ac:dyDescent="0.25">
      <c r="A244" s="48" t="s">
        <v>96</v>
      </c>
      <c r="B244" s="89">
        <f t="shared" ref="B244:D244" si="494">B245-B239</f>
        <v>80.299999999999955</v>
      </c>
      <c r="C244" s="89">
        <f t="shared" si="494"/>
        <v>52.700000000000045</v>
      </c>
      <c r="D244" s="89">
        <f t="shared" si="494"/>
        <v>43.700000000000045</v>
      </c>
      <c r="E244" s="89">
        <f>E245-E239</f>
        <v>108.09999999999991</v>
      </c>
      <c r="F244" s="89">
        <f>F245-F239</f>
        <v>73.200000000000045</v>
      </c>
      <c r="G244" s="89">
        <f>G245-G239</f>
        <v>38.5</v>
      </c>
      <c r="H244" s="89">
        <f>H245-H239</f>
        <v>17.400000000000091</v>
      </c>
      <c r="I244" s="12"/>
      <c r="J244" s="89"/>
      <c r="K244" s="89"/>
      <c r="L244" s="89"/>
      <c r="M244" s="89"/>
      <c r="N244" s="89"/>
      <c r="O244" s="89"/>
      <c r="P244" s="89"/>
      <c r="Q244" s="89">
        <f t="shared" ref="Q244" si="495">Q245-Q239</f>
        <v>43.700000000000045</v>
      </c>
      <c r="R244" s="89"/>
      <c r="S244" s="89">
        <f t="shared" ref="S244:AE244" si="496">S245-S239</f>
        <v>109.90000000000009</v>
      </c>
      <c r="T244" s="89">
        <f t="shared" si="496"/>
        <v>100.90000000000009</v>
      </c>
      <c r="U244" s="89">
        <f t="shared" si="496"/>
        <v>108.09999999999991</v>
      </c>
      <c r="V244" s="89">
        <f t="shared" si="496"/>
        <v>98.999999999999773</v>
      </c>
      <c r="W244" s="89">
        <f t="shared" si="496"/>
        <v>95.400000000000091</v>
      </c>
      <c r="X244" s="89">
        <f t="shared" si="496"/>
        <v>88.700000000000045</v>
      </c>
      <c r="Y244" s="89">
        <f t="shared" si="496"/>
        <v>73.200000000000045</v>
      </c>
      <c r="Z244" s="89">
        <f t="shared" si="496"/>
        <v>64.599999999999909</v>
      </c>
      <c r="AA244" s="89">
        <f t="shared" si="496"/>
        <v>56.700000000000273</v>
      </c>
      <c r="AB244" s="89">
        <f t="shared" si="496"/>
        <v>43.200000000000273</v>
      </c>
      <c r="AC244" s="89">
        <f t="shared" si="496"/>
        <v>38.5</v>
      </c>
      <c r="AD244" s="89">
        <f t="shared" si="496"/>
        <v>29.900000000000091</v>
      </c>
      <c r="AE244" s="89">
        <f t="shared" si="496"/>
        <v>24.5</v>
      </c>
      <c r="AF244" s="89">
        <f>AF245-AF239</f>
        <v>18.899999999999864</v>
      </c>
      <c r="AG244" s="89">
        <f t="shared" ref="AG244:AJ244" si="497">AG245-AG239</f>
        <v>17.400000000000091</v>
      </c>
      <c r="AH244" s="89">
        <f t="shared" si="497"/>
        <v>15</v>
      </c>
      <c r="AI244" s="89">
        <f t="shared" si="497"/>
        <v>12.799999999999955</v>
      </c>
      <c r="AJ244" s="89">
        <f t="shared" si="497"/>
        <v>11.199999999999818</v>
      </c>
    </row>
    <row r="245" spans="1:36" x14ac:dyDescent="0.25">
      <c r="A245" s="12" t="s">
        <v>97</v>
      </c>
      <c r="B245" s="11">
        <v>1003.3</v>
      </c>
      <c r="C245" s="11">
        <v>625.70000000000005</v>
      </c>
      <c r="D245" s="11">
        <v>884</v>
      </c>
      <c r="E245" s="11">
        <v>2519</v>
      </c>
      <c r="F245" s="11">
        <v>1491.9</v>
      </c>
      <c r="G245" s="11">
        <v>2046</v>
      </c>
      <c r="H245" s="11">
        <v>2016.9</v>
      </c>
      <c r="I245" s="12"/>
      <c r="J245" s="11"/>
      <c r="K245" s="11"/>
      <c r="L245" s="11"/>
      <c r="M245" s="11"/>
      <c r="N245" s="11"/>
      <c r="O245" s="11"/>
      <c r="P245" s="11"/>
      <c r="Q245" s="11">
        <v>884</v>
      </c>
      <c r="R245" s="11"/>
      <c r="S245" s="11">
        <v>1555.4</v>
      </c>
      <c r="T245" s="11">
        <v>1658.2</v>
      </c>
      <c r="U245" s="11">
        <v>2519</v>
      </c>
      <c r="V245" s="11">
        <v>2126.6999999999998</v>
      </c>
      <c r="W245" s="11">
        <v>1811.9</v>
      </c>
      <c r="X245" s="11">
        <v>1511.8</v>
      </c>
      <c r="Y245" s="11">
        <v>1491.9</v>
      </c>
      <c r="Z245" s="11">
        <v>1402.3</v>
      </c>
      <c r="AA245" s="11">
        <v>2105.3000000000002</v>
      </c>
      <c r="AB245" s="11">
        <v>2172.9</v>
      </c>
      <c r="AC245" s="11">
        <v>2046</v>
      </c>
      <c r="AD245" s="11">
        <v>1678</v>
      </c>
      <c r="AE245" s="11">
        <v>1541.2</v>
      </c>
      <c r="AF245" s="11">
        <v>1888.8</v>
      </c>
      <c r="AG245" s="11">
        <v>2016.9</v>
      </c>
      <c r="AH245" s="11">
        <v>1595.8</v>
      </c>
      <c r="AI245" s="11">
        <v>1706.3</v>
      </c>
      <c r="AJ245" s="11">
        <v>1401.6</v>
      </c>
    </row>
    <row r="246" spans="1:36" x14ac:dyDescent="0.2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row>
    <row r="247" spans="1:36" x14ac:dyDescent="0.25">
      <c r="A247" s="12" t="s">
        <v>98</v>
      </c>
      <c r="B247" s="11">
        <f>5883.7-2475</f>
        <v>3408.7</v>
      </c>
      <c r="C247" s="11">
        <f>9798-4776.8</f>
        <v>5021.2</v>
      </c>
      <c r="D247" s="11">
        <f>10593-7190.9</f>
        <v>3402.1000000000004</v>
      </c>
      <c r="E247" s="11">
        <v>7027.9</v>
      </c>
      <c r="F247" s="11">
        <v>3788.6</v>
      </c>
      <c r="G247" s="11">
        <v>6999.7</v>
      </c>
      <c r="H247" s="11">
        <v>5556.9</v>
      </c>
      <c r="I247" s="12"/>
      <c r="J247" s="11"/>
      <c r="K247" s="11"/>
      <c r="L247" s="11"/>
      <c r="M247" s="11"/>
      <c r="N247" s="11"/>
      <c r="O247" s="11"/>
      <c r="P247" s="11"/>
      <c r="Q247" s="11">
        <f>10593-7190.9</f>
        <v>3402.1000000000004</v>
      </c>
      <c r="R247" s="11"/>
      <c r="S247" s="11">
        <v>5260.1</v>
      </c>
      <c r="T247" s="11">
        <v>4784.3</v>
      </c>
      <c r="U247" s="11">
        <v>7027.9</v>
      </c>
      <c r="V247" s="11">
        <v>6362.2</v>
      </c>
      <c r="W247" s="11">
        <v>5768.2</v>
      </c>
      <c r="X247" s="11">
        <v>4603.2</v>
      </c>
      <c r="Y247" s="11">
        <v>3788.6</v>
      </c>
      <c r="Z247" s="11">
        <v>8225.2999999999993</v>
      </c>
      <c r="AA247" s="11">
        <v>7758.2</v>
      </c>
      <c r="AB247" s="11">
        <v>7371.5</v>
      </c>
      <c r="AC247" s="11">
        <v>6999.7</v>
      </c>
      <c r="AD247" s="11">
        <v>6661.5</v>
      </c>
      <c r="AE247" s="11">
        <v>6961.3</v>
      </c>
      <c r="AF247" s="11">
        <v>6825.7</v>
      </c>
      <c r="AG247" s="11">
        <v>5556.9</v>
      </c>
      <c r="AH247" s="11">
        <v>5255.7</v>
      </c>
      <c r="AI247" s="11">
        <v>4948</v>
      </c>
      <c r="AJ247" s="11">
        <v>4734.3</v>
      </c>
    </row>
    <row r="248" spans="1:36" x14ac:dyDescent="0.25">
      <c r="A248" s="12" t="s">
        <v>99</v>
      </c>
      <c r="B248" s="11">
        <v>0</v>
      </c>
      <c r="C248" s="11">
        <v>0</v>
      </c>
      <c r="D248" s="11">
        <v>0</v>
      </c>
      <c r="E248" s="11">
        <v>0</v>
      </c>
      <c r="F248" s="11">
        <v>0</v>
      </c>
      <c r="G248" s="11">
        <v>0</v>
      </c>
      <c r="H248" s="11">
        <v>0</v>
      </c>
      <c r="I248" s="15"/>
      <c r="J248" s="11"/>
      <c r="K248" s="11"/>
      <c r="L248" s="11"/>
      <c r="M248" s="11"/>
      <c r="N248" s="11"/>
      <c r="O248" s="11"/>
      <c r="P248" s="11"/>
      <c r="Q248" s="11">
        <v>0</v>
      </c>
      <c r="R248" s="11"/>
      <c r="S248" s="11">
        <v>0</v>
      </c>
      <c r="T248" s="11">
        <v>0</v>
      </c>
      <c r="U248" s="11">
        <v>0</v>
      </c>
      <c r="V248" s="11">
        <v>0</v>
      </c>
      <c r="W248" s="11">
        <v>0</v>
      </c>
      <c r="X248" s="11">
        <v>0</v>
      </c>
      <c r="Y248" s="11">
        <v>0</v>
      </c>
      <c r="Z248" s="11">
        <v>0</v>
      </c>
      <c r="AA248" s="11">
        <v>0</v>
      </c>
      <c r="AB248" s="11">
        <v>0</v>
      </c>
      <c r="AC248" s="11">
        <v>0</v>
      </c>
      <c r="AD248" s="11">
        <v>0</v>
      </c>
      <c r="AE248" s="11">
        <v>0</v>
      </c>
      <c r="AF248" s="11">
        <v>0</v>
      </c>
      <c r="AG248" s="11">
        <v>0</v>
      </c>
      <c r="AH248" s="11">
        <v>0</v>
      </c>
      <c r="AI248" s="11">
        <v>0</v>
      </c>
      <c r="AJ248" s="11"/>
    </row>
    <row r="249" spans="1:36" x14ac:dyDescent="0.25">
      <c r="A249" s="48" t="s">
        <v>100</v>
      </c>
      <c r="B249" s="89">
        <f t="shared" ref="B249:H249" si="498">SUM(B247:B248,B245)</f>
        <v>4412</v>
      </c>
      <c r="C249" s="89">
        <f t="shared" si="498"/>
        <v>5646.9</v>
      </c>
      <c r="D249" s="89">
        <f t="shared" si="498"/>
        <v>4286.1000000000004</v>
      </c>
      <c r="E249" s="89">
        <f t="shared" si="498"/>
        <v>9546.9</v>
      </c>
      <c r="F249" s="89">
        <f t="shared" si="498"/>
        <v>5280.5</v>
      </c>
      <c r="G249" s="89">
        <f t="shared" si="498"/>
        <v>9045.7000000000007</v>
      </c>
      <c r="H249" s="89">
        <f t="shared" si="498"/>
        <v>7573.7999999999993</v>
      </c>
      <c r="I249" s="12"/>
      <c r="J249" s="89"/>
      <c r="K249" s="89"/>
      <c r="L249" s="89"/>
      <c r="M249" s="89"/>
      <c r="N249" s="89"/>
      <c r="O249" s="89"/>
      <c r="P249" s="89"/>
      <c r="Q249" s="89">
        <f>SUM(Q247:Q248,Q245)</f>
        <v>4286.1000000000004</v>
      </c>
      <c r="R249" s="89"/>
      <c r="S249" s="89">
        <f t="shared" ref="S249:X249" si="499">SUM(S247:S248,S245)</f>
        <v>6815.5</v>
      </c>
      <c r="T249" s="89">
        <f t="shared" si="499"/>
        <v>6442.5</v>
      </c>
      <c r="U249" s="89">
        <f t="shared" si="499"/>
        <v>9546.9</v>
      </c>
      <c r="V249" s="89">
        <f t="shared" si="499"/>
        <v>8488.9</v>
      </c>
      <c r="W249" s="89">
        <f t="shared" si="499"/>
        <v>7580.1</v>
      </c>
      <c r="X249" s="89">
        <f t="shared" si="499"/>
        <v>6115</v>
      </c>
      <c r="Y249" s="89">
        <f>SUM(Y247:Y248,Y245)</f>
        <v>5280.5</v>
      </c>
      <c r="Z249" s="89">
        <f>SUM(Z247:Z248,Z245)</f>
        <v>9627.5999999999985</v>
      </c>
      <c r="AA249" s="89">
        <f>SUM(AA247:AA248,AA245)</f>
        <v>9863.5</v>
      </c>
      <c r="AB249" s="89">
        <f>SUM(AB247:AB248,AB245)</f>
        <v>9544.4</v>
      </c>
      <c r="AC249" s="89">
        <f t="shared" ref="AC249:AE249" si="500">SUM(AC247:AC248,AC245)</f>
        <v>9045.7000000000007</v>
      </c>
      <c r="AD249" s="89">
        <f t="shared" si="500"/>
        <v>8339.5</v>
      </c>
      <c r="AE249" s="89">
        <f t="shared" si="500"/>
        <v>8502.5</v>
      </c>
      <c r="AF249" s="89">
        <f>SUM(AF247:AF248,AF245)</f>
        <v>8714.5</v>
      </c>
      <c r="AG249" s="89">
        <f t="shared" ref="AG249:AJ249" si="501">SUM(AG247:AG248,AG245)</f>
        <v>7573.7999999999993</v>
      </c>
      <c r="AH249" s="89">
        <f t="shared" si="501"/>
        <v>6851.5</v>
      </c>
      <c r="AI249" s="89">
        <f t="shared" si="501"/>
        <v>6654.3</v>
      </c>
      <c r="AJ249" s="89">
        <f t="shared" si="501"/>
        <v>6135.9</v>
      </c>
    </row>
    <row r="250" spans="1:36" s="92" customFormat="1" x14ac:dyDescent="0.25">
      <c r="A250" s="90" t="s">
        <v>101</v>
      </c>
      <c r="B250" s="90">
        <f t="shared" ref="B250:D250" si="502">B249-B232</f>
        <v>0</v>
      </c>
      <c r="C250" s="90">
        <f t="shared" si="502"/>
        <v>0.1999999999998181</v>
      </c>
      <c r="D250" s="90">
        <f t="shared" si="502"/>
        <v>0.1000000000003638</v>
      </c>
      <c r="E250" s="90">
        <f>E249-E232</f>
        <v>-0.3999999999996362</v>
      </c>
      <c r="F250" s="90">
        <f>F249-F232</f>
        <v>0</v>
      </c>
      <c r="G250" s="90">
        <f>G249-G232</f>
        <v>0</v>
      </c>
      <c r="H250" s="90">
        <f>H249-H232</f>
        <v>9.9999999999454303E-2</v>
      </c>
      <c r="I250" s="91"/>
      <c r="J250" s="91"/>
      <c r="K250" s="91"/>
      <c r="L250" s="91"/>
      <c r="M250" s="91"/>
      <c r="N250" s="91"/>
      <c r="O250" s="91"/>
      <c r="P250" s="91"/>
      <c r="Q250" s="90">
        <f t="shared" ref="Q250" si="503">Q249-Q232</f>
        <v>0.1000000000003638</v>
      </c>
      <c r="R250" s="91"/>
      <c r="S250" s="90">
        <f t="shared" ref="S250:AE250" si="504">S249-S232</f>
        <v>0.1000000000003638</v>
      </c>
      <c r="T250" s="90">
        <f t="shared" si="504"/>
        <v>0</v>
      </c>
      <c r="U250" s="90">
        <f t="shared" si="504"/>
        <v>-0.3999999999996362</v>
      </c>
      <c r="V250" s="90">
        <f t="shared" si="504"/>
        <v>0</v>
      </c>
      <c r="W250" s="90">
        <f t="shared" si="504"/>
        <v>0</v>
      </c>
      <c r="X250" s="90">
        <f t="shared" si="504"/>
        <v>-0.1000000000003638</v>
      </c>
      <c r="Y250" s="90">
        <f t="shared" si="504"/>
        <v>0</v>
      </c>
      <c r="Z250" s="90">
        <f t="shared" si="504"/>
        <v>0</v>
      </c>
      <c r="AA250" s="90">
        <f t="shared" si="504"/>
        <v>0</v>
      </c>
      <c r="AB250" s="90">
        <f t="shared" si="504"/>
        <v>0.1000000000003638</v>
      </c>
      <c r="AC250" s="90">
        <f t="shared" si="504"/>
        <v>0</v>
      </c>
      <c r="AD250" s="90">
        <f t="shared" si="504"/>
        <v>-0.1000000000003638</v>
      </c>
      <c r="AE250" s="90">
        <f t="shared" si="504"/>
        <v>9.9999999998544808E-2</v>
      </c>
      <c r="AF250" s="90">
        <f>AF249-AF232</f>
        <v>0</v>
      </c>
      <c r="AG250" s="90">
        <f t="shared" ref="AG250:AJ250" si="505">AG249-AG232</f>
        <v>9.9999999999454303E-2</v>
      </c>
      <c r="AH250" s="90">
        <f t="shared" si="505"/>
        <v>0</v>
      </c>
      <c r="AI250" s="90">
        <f t="shared" si="505"/>
        <v>9.9999999999454303E-2</v>
      </c>
      <c r="AJ250" s="90">
        <f t="shared" si="505"/>
        <v>0</v>
      </c>
    </row>
    <row r="251" spans="1:36" x14ac:dyDescent="0.25">
      <c r="A251" s="12"/>
      <c r="B251" s="12"/>
      <c r="C251" s="12"/>
      <c r="D251" s="12"/>
      <c r="E251" s="12"/>
      <c r="F251" s="12"/>
      <c r="G251" s="12"/>
      <c r="H251" s="12"/>
      <c r="I251" s="12"/>
      <c r="J251" s="9"/>
      <c r="K251" s="9"/>
      <c r="L251" s="9"/>
      <c r="M251" s="9"/>
      <c r="N251" s="9"/>
      <c r="O251" s="9"/>
      <c r="P251" s="9"/>
      <c r="Q251" s="12"/>
      <c r="R251" s="9"/>
      <c r="S251" s="9"/>
      <c r="T251" s="9"/>
      <c r="U251" s="12"/>
      <c r="V251" s="9"/>
      <c r="W251" s="9"/>
      <c r="X251" s="9"/>
      <c r="Y251" s="9"/>
      <c r="Z251" s="9"/>
      <c r="AA251" s="9"/>
      <c r="AB251" s="9"/>
      <c r="AC251" s="9"/>
      <c r="AD251" s="9"/>
      <c r="AE251" s="9"/>
      <c r="AF251" s="9"/>
      <c r="AG251" s="9"/>
      <c r="AH251" s="9"/>
      <c r="AI251" s="9"/>
      <c r="AJ251" s="9"/>
    </row>
    <row r="252" spans="1:36" x14ac:dyDescent="0.25">
      <c r="A252" s="12" t="s">
        <v>102</v>
      </c>
      <c r="B252" s="12">
        <f>B241+B234-B220-B221</f>
        <v>-1889.5000000000002</v>
      </c>
      <c r="C252" s="12">
        <f t="shared" ref="C252:D252" si="506">C241+C234-C220-C221</f>
        <v>-3465.3</v>
      </c>
      <c r="D252" s="12">
        <f t="shared" si="506"/>
        <v>-2113.3000000000002</v>
      </c>
      <c r="E252" s="12">
        <f>E241+E234-E220-E221</f>
        <v>-5520.9</v>
      </c>
      <c r="F252" s="12">
        <f>F241+F234-F220-F221</f>
        <v>-1664.7</v>
      </c>
      <c r="G252" s="12">
        <f>G241+G234-G220-G221</f>
        <v>-4270.2</v>
      </c>
      <c r="H252" s="12">
        <f>H241+H234-H220-H221</f>
        <v>-3970.5</v>
      </c>
      <c r="I252" s="12" t="s">
        <v>103</v>
      </c>
      <c r="J252" s="12"/>
      <c r="K252" s="12"/>
      <c r="L252" s="12"/>
      <c r="M252" s="12"/>
      <c r="N252" s="12"/>
      <c r="O252" s="12"/>
      <c r="P252" s="12"/>
      <c r="Q252" s="12">
        <f t="shared" ref="Q252:AE252" si="507">Q241+Q234-Q220-Q221</f>
        <v>-2113.3000000000002</v>
      </c>
      <c r="R252" s="12"/>
      <c r="S252" s="12" t="s">
        <v>104</v>
      </c>
      <c r="T252" s="12">
        <f t="shared" si="507"/>
        <v>-3150.2</v>
      </c>
      <c r="U252" s="12">
        <f t="shared" si="507"/>
        <v>-5520.9</v>
      </c>
      <c r="V252" s="12">
        <f t="shared" si="507"/>
        <v>-4815.8</v>
      </c>
      <c r="W252" s="12">
        <f t="shared" si="507"/>
        <v>-4094.7</v>
      </c>
      <c r="X252" s="12">
        <f t="shared" si="507"/>
        <v>-2561.8000000000002</v>
      </c>
      <c r="Y252" s="12">
        <f t="shared" si="507"/>
        <v>-1664.7</v>
      </c>
      <c r="Z252" s="12">
        <f t="shared" si="507"/>
        <v>-4516.5</v>
      </c>
      <c r="AA252" s="12">
        <f t="shared" si="507"/>
        <v>-3750</v>
      </c>
      <c r="AB252" s="12">
        <f t="shared" si="507"/>
        <v>-4608.8</v>
      </c>
      <c r="AC252" s="12">
        <f t="shared" si="507"/>
        <v>-4270.2</v>
      </c>
      <c r="AD252" s="12">
        <f t="shared" si="507"/>
        <v>-3621.8999999999996</v>
      </c>
      <c r="AE252" s="12">
        <f t="shared" si="507"/>
        <v>-3944.9</v>
      </c>
      <c r="AF252" s="12">
        <f>AF241+AF234-AF220-AF221</f>
        <v>-4409.8999999999996</v>
      </c>
      <c r="AG252" s="12">
        <f t="shared" ref="AG252:AJ252" si="508">AG241+AG234-AG220-AG221</f>
        <v>-3970.5</v>
      </c>
      <c r="AH252" s="12">
        <f t="shared" si="508"/>
        <v>-3813</v>
      </c>
      <c r="AI252" s="12">
        <f t="shared" si="508"/>
        <v>-3609.8</v>
      </c>
      <c r="AJ252" s="228">
        <f t="shared" si="508"/>
        <v>-2843.9</v>
      </c>
    </row>
    <row r="253" spans="1:36" x14ac:dyDescent="0.2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32"/>
      <c r="AG253" s="12"/>
      <c r="AH253" s="12"/>
      <c r="AI253" s="12"/>
      <c r="AJ253" s="12"/>
    </row>
    <row r="254" spans="1:36" x14ac:dyDescent="0.25">
      <c r="A254" s="12" t="s">
        <v>105</v>
      </c>
      <c r="B254" s="12">
        <f t="shared" ref="B254:F254" si="509">B222+B223+B224-B235</f>
        <v>16.100000000000001</v>
      </c>
      <c r="C254" s="12">
        <f t="shared" si="509"/>
        <v>134.5</v>
      </c>
      <c r="D254" s="12">
        <f t="shared" si="509"/>
        <v>257.90000000000003</v>
      </c>
      <c r="E254" s="12">
        <f t="shared" si="509"/>
        <v>988.49999999999977</v>
      </c>
      <c r="F254" s="12">
        <f t="shared" si="509"/>
        <v>1117.7</v>
      </c>
      <c r="G254" s="12">
        <f>G222+G223+G224-G235</f>
        <v>1226.5</v>
      </c>
      <c r="H254" s="12">
        <f>H222+H223+H224-H235</f>
        <v>1487.9</v>
      </c>
      <c r="I254" s="249" t="s">
        <v>106</v>
      </c>
      <c r="J254" s="12"/>
      <c r="K254" s="12"/>
      <c r="L254" s="12"/>
      <c r="M254" s="12"/>
      <c r="N254" s="12"/>
      <c r="O254" s="12"/>
      <c r="P254" s="12"/>
      <c r="Q254" s="12">
        <f t="shared" ref="Q254:AD254" si="510">Q222+Q223+Q224-Q235</f>
        <v>257.90000000000003</v>
      </c>
      <c r="R254" s="12"/>
      <c r="S254" s="12">
        <f t="shared" si="510"/>
        <v>572.4</v>
      </c>
      <c r="T254" s="12">
        <f t="shared" si="510"/>
        <v>480.5</v>
      </c>
      <c r="U254" s="12">
        <f t="shared" si="510"/>
        <v>988.49999999999977</v>
      </c>
      <c r="V254" s="12">
        <f t="shared" si="510"/>
        <v>792.1</v>
      </c>
      <c r="W254" s="12">
        <f t="shared" si="510"/>
        <v>660.1</v>
      </c>
      <c r="X254" s="12">
        <f t="shared" si="510"/>
        <v>773.9</v>
      </c>
      <c r="Y254" s="12">
        <f t="shared" si="510"/>
        <v>1117.7</v>
      </c>
      <c r="Z254" s="12">
        <f t="shared" si="510"/>
        <v>1164.3999999999999</v>
      </c>
      <c r="AA254" s="12">
        <f t="shared" si="510"/>
        <v>1457.6</v>
      </c>
      <c r="AB254" s="12">
        <f t="shared" si="510"/>
        <v>1066</v>
      </c>
      <c r="AC254" s="12">
        <f t="shared" si="510"/>
        <v>1226.5</v>
      </c>
      <c r="AD254" s="12">
        <f t="shared" si="510"/>
        <v>1347.9</v>
      </c>
      <c r="AE254" s="12">
        <f>AE222+AE223+AE224-AE235</f>
        <v>1313.1000000000001</v>
      </c>
      <c r="AF254" s="12">
        <f>AF222+AF223+AF224-AF235</f>
        <v>1151.5999999999999</v>
      </c>
      <c r="AG254" s="12">
        <f t="shared" ref="AG254:AJ254" si="511">AG222+AG223+AG224-AG235</f>
        <v>1487.9</v>
      </c>
      <c r="AH254" s="12">
        <f t="shared" si="511"/>
        <v>1395.8999999999999</v>
      </c>
      <c r="AI254" s="12">
        <f t="shared" si="511"/>
        <v>1480.5</v>
      </c>
      <c r="AJ254" s="228">
        <f t="shared" si="511"/>
        <v>1829.3</v>
      </c>
    </row>
    <row r="255" spans="1:36" s="255" customFormat="1" x14ac:dyDescent="0.25">
      <c r="A255" s="35" t="s">
        <v>107</v>
      </c>
      <c r="B255" s="32">
        <f t="shared" ref="B255:H255" si="512">B254/B9</f>
        <v>1.3219476147466951E-2</v>
      </c>
      <c r="C255" s="32">
        <f t="shared" si="512"/>
        <v>6.9982829491648885E-2</v>
      </c>
      <c r="D255" s="32">
        <f t="shared" si="512"/>
        <v>8.3204284423796626E-2</v>
      </c>
      <c r="E255" s="32">
        <f t="shared" si="512"/>
        <v>0.17221554382480528</v>
      </c>
      <c r="F255" s="32">
        <f t="shared" si="512"/>
        <v>0.16278290757624306</v>
      </c>
      <c r="G255" s="32">
        <f t="shared" si="512"/>
        <v>0.13190299510673764</v>
      </c>
      <c r="H255" s="32">
        <f t="shared" si="512"/>
        <v>0.14162248598433291</v>
      </c>
      <c r="I255" s="12" t="s">
        <v>220</v>
      </c>
      <c r="J255" s="32"/>
      <c r="K255" s="32"/>
      <c r="L255" s="32"/>
      <c r="M255" s="32"/>
      <c r="N255" s="32"/>
      <c r="O255" s="32"/>
      <c r="P255" s="32"/>
      <c r="Q255" s="32">
        <f>Q254/(Q9*4)</f>
        <v>5.4345077545515846E-2</v>
      </c>
      <c r="R255" s="32"/>
      <c r="S255" s="32">
        <f t="shared" ref="S255:AJ255" si="513">S254/(S9*4)</f>
        <v>0.10817144152997202</v>
      </c>
      <c r="T255" s="32">
        <f t="shared" si="513"/>
        <v>9.2304441370831408E-2</v>
      </c>
      <c r="U255" s="32">
        <f t="shared" si="513"/>
        <v>0.12258792598839226</v>
      </c>
      <c r="V255" s="32">
        <f t="shared" si="513"/>
        <v>0.11839351907210333</v>
      </c>
      <c r="W255" s="32">
        <f t="shared" si="513"/>
        <v>0.11191929467616142</v>
      </c>
      <c r="X255" s="32">
        <f t="shared" si="513"/>
        <v>0.11471303213565752</v>
      </c>
      <c r="Y255" s="32">
        <f t="shared" si="513"/>
        <v>0.1375123031496063</v>
      </c>
      <c r="Z255" s="32">
        <f t="shared" si="513"/>
        <v>0.14373888998617418</v>
      </c>
      <c r="AA255" s="32">
        <f t="shared" si="513"/>
        <v>0.15975449364313896</v>
      </c>
      <c r="AB255" s="32">
        <f t="shared" si="513"/>
        <v>0.11197478991596639</v>
      </c>
      <c r="AC255" s="32">
        <f t="shared" si="513"/>
        <v>0.11739538267161836</v>
      </c>
      <c r="AD255" s="32">
        <f t="shared" si="513"/>
        <v>0.13290802240277672</v>
      </c>
      <c r="AE255" s="32">
        <f t="shared" si="513"/>
        <v>0.12641520332717193</v>
      </c>
      <c r="AF255" s="32">
        <f t="shared" si="513"/>
        <v>0.10981424266697182</v>
      </c>
      <c r="AG255" s="32">
        <f t="shared" si="513"/>
        <v>0.13516042294974748</v>
      </c>
      <c r="AH255" s="32">
        <f t="shared" si="513"/>
        <v>0.14234000897336541</v>
      </c>
      <c r="AI255" s="32">
        <f t="shared" si="513"/>
        <v>0.15750623322539997</v>
      </c>
      <c r="AJ255" s="333">
        <f t="shared" si="513"/>
        <v>0.18824606898822754</v>
      </c>
    </row>
    <row r="256" spans="1:36" s="255" customFormat="1" x14ac:dyDescent="0.25">
      <c r="A256" s="35"/>
      <c r="B256" s="32"/>
      <c r="C256" s="32"/>
      <c r="D256" s="32"/>
      <c r="E256" s="32"/>
      <c r="F256" s="32"/>
      <c r="G256" s="32"/>
      <c r="H256" s="32"/>
      <c r="I256" s="12"/>
      <c r="J256" s="32"/>
      <c r="K256" s="32"/>
      <c r="L256" s="32"/>
      <c r="M256" s="32"/>
      <c r="N256" s="32"/>
      <c r="O256" s="32"/>
      <c r="P256" s="32"/>
      <c r="Q256" s="32"/>
      <c r="R256" s="32"/>
      <c r="S256" s="32"/>
      <c r="T256" s="32"/>
      <c r="U256" s="32"/>
      <c r="V256" s="32"/>
      <c r="W256" s="32"/>
      <c r="X256" s="32"/>
      <c r="Y256" s="32"/>
      <c r="Z256" s="32"/>
      <c r="AA256" s="32"/>
      <c r="AB256" s="32"/>
      <c r="AC256" s="32"/>
      <c r="AD256" s="32"/>
      <c r="AE256" s="32"/>
      <c r="AF256" s="32"/>
      <c r="AG256" s="25"/>
      <c r="AH256" s="32"/>
      <c r="AI256" s="32"/>
      <c r="AJ256" s="32"/>
    </row>
    <row r="258" spans="1:36" x14ac:dyDescent="0.25">
      <c r="A258" s="6" t="s">
        <v>108</v>
      </c>
      <c r="B258" s="6"/>
      <c r="C258" s="93"/>
      <c r="D258" s="93"/>
      <c r="E258" s="93"/>
      <c r="F258" s="93"/>
      <c r="G258" s="93"/>
      <c r="H258" s="93"/>
      <c r="I258" s="93"/>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x14ac:dyDescent="0.25">
      <c r="A259" s="4" t="s">
        <v>109</v>
      </c>
      <c r="B259" s="93">
        <f t="shared" ref="B259:H259" si="514">SUM(B30:B31)</f>
        <v>-1531.3999999999999</v>
      </c>
      <c r="C259" s="93">
        <f t="shared" si="514"/>
        <v>-1878.4999999999998</v>
      </c>
      <c r="D259" s="93">
        <f t="shared" si="514"/>
        <v>-1669.6999999999996</v>
      </c>
      <c r="E259" s="93">
        <f t="shared" si="514"/>
        <v>-1539.8000000000002</v>
      </c>
      <c r="F259" s="93">
        <f t="shared" si="514"/>
        <v>-2471.1000000000013</v>
      </c>
      <c r="G259" s="93">
        <f t="shared" si="514"/>
        <v>-2006.9999999999998</v>
      </c>
      <c r="H259" s="93">
        <f t="shared" si="514"/>
        <v>-999.99999999999977</v>
      </c>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c r="AG259" s="93"/>
      <c r="AH259" s="93"/>
      <c r="AI259" s="93"/>
      <c r="AJ259" s="93"/>
    </row>
    <row r="260" spans="1:36" x14ac:dyDescent="0.25">
      <c r="A260" s="4" t="s">
        <v>110</v>
      </c>
      <c r="B260" s="94">
        <v>209</v>
      </c>
      <c r="C260" s="11">
        <v>212.2</v>
      </c>
      <c r="D260" s="11">
        <v>215.6</v>
      </c>
      <c r="E260" s="11">
        <v>201.2</v>
      </c>
      <c r="F260" s="11">
        <v>192.5</v>
      </c>
      <c r="G260" s="11">
        <v>496.9</v>
      </c>
      <c r="H260" s="11">
        <f>515.7</f>
        <v>515.70000000000005</v>
      </c>
      <c r="I260" s="95"/>
      <c r="J260" s="11"/>
      <c r="K260" s="11"/>
      <c r="L260" s="11"/>
      <c r="M260" s="11"/>
      <c r="N260" s="11"/>
      <c r="O260" s="11"/>
      <c r="P260" s="11"/>
      <c r="Q260" s="7"/>
      <c r="R260" s="11"/>
      <c r="S260" s="11"/>
      <c r="T260" s="11"/>
      <c r="U260" s="7"/>
      <c r="V260" s="11"/>
      <c r="W260" s="11"/>
      <c r="X260" s="11"/>
      <c r="Y260" s="11"/>
      <c r="Z260" s="11"/>
      <c r="AA260" s="11"/>
      <c r="AB260" s="11"/>
      <c r="AC260" s="11"/>
      <c r="AD260" s="11"/>
      <c r="AE260" s="11"/>
      <c r="AF260" s="11"/>
      <c r="AG260" s="11"/>
      <c r="AH260" s="11"/>
      <c r="AI260" s="11"/>
      <c r="AJ260" s="11"/>
    </row>
    <row r="261" spans="1:36" x14ac:dyDescent="0.25">
      <c r="A261" s="96" t="s">
        <v>111</v>
      </c>
      <c r="B261" s="95">
        <f t="shared" ref="B261:H261" si="515">B46</f>
        <v>0</v>
      </c>
      <c r="C261" s="95">
        <f t="shared" si="515"/>
        <v>50.9</v>
      </c>
      <c r="D261" s="95">
        <f t="shared" si="515"/>
        <v>51</v>
      </c>
      <c r="E261" s="95">
        <f t="shared" si="515"/>
        <v>360</v>
      </c>
      <c r="F261" s="95">
        <f t="shared" si="515"/>
        <v>207.9</v>
      </c>
      <c r="G261" s="95">
        <f t="shared" si="515"/>
        <v>218.7</v>
      </c>
      <c r="H261" s="95">
        <f t="shared" si="515"/>
        <v>163.1</v>
      </c>
      <c r="I261" s="95"/>
      <c r="J261" s="95"/>
      <c r="K261" s="95"/>
      <c r="L261" s="95"/>
      <c r="M261" s="95"/>
      <c r="N261" s="95"/>
      <c r="O261" s="95"/>
      <c r="P261" s="95"/>
      <c r="Q261" s="95"/>
      <c r="R261" s="95"/>
      <c r="S261" s="95"/>
      <c r="T261" s="95"/>
      <c r="U261" s="95"/>
      <c r="V261" s="95"/>
      <c r="W261" s="95"/>
      <c r="X261" s="95"/>
      <c r="Y261" s="95"/>
      <c r="Z261" s="95"/>
      <c r="AA261" s="95"/>
      <c r="AB261" s="95"/>
      <c r="AC261" s="95"/>
      <c r="AD261" s="95"/>
      <c r="AE261" s="95"/>
      <c r="AF261" s="95"/>
      <c r="AG261" s="95"/>
      <c r="AH261" s="95"/>
      <c r="AI261" s="95"/>
      <c r="AJ261" s="95"/>
    </row>
    <row r="262" spans="1:36" x14ac:dyDescent="0.25">
      <c r="A262" s="96" t="s">
        <v>112</v>
      </c>
      <c r="B262" s="97">
        <f>-6.9-3.5+(-15-82.9)+0.9</f>
        <v>-107.4</v>
      </c>
      <c r="C262" s="98">
        <f>-23.7-3.6+(-110.6+16)+1.5+15</f>
        <v>-105.39999999999999</v>
      </c>
      <c r="D262" s="98">
        <f>-7.5+4+(-149.3+28.4)+1.2+101.2</f>
        <v>-22</v>
      </c>
      <c r="E262" s="98">
        <f>-365.3-1.9+(-337.6-29.8)+3.9+170+336.1</f>
        <v>-224.60000000000002</v>
      </c>
      <c r="F262" s="98">
        <f>51.2-1.5+(-194.3+18.8)-4-170-136.5</f>
        <v>-436.3</v>
      </c>
      <c r="G262" s="98">
        <f>28.1-2.7+(-220.3+75.2)+213.3</f>
        <v>93.6</v>
      </c>
      <c r="H262" s="98">
        <f>-115.6-0.4+(-226+43)+73</f>
        <v>-226</v>
      </c>
      <c r="I262" s="95" t="s">
        <v>113</v>
      </c>
      <c r="J262" s="98"/>
      <c r="K262" s="98"/>
      <c r="L262" s="98"/>
      <c r="M262" s="98"/>
      <c r="N262" s="98"/>
      <c r="O262" s="98"/>
      <c r="P262" s="98"/>
      <c r="Q262" s="7"/>
      <c r="R262" s="98"/>
      <c r="S262" s="98"/>
      <c r="T262" s="98"/>
      <c r="U262" s="7"/>
      <c r="V262" s="95"/>
      <c r="W262" s="98"/>
      <c r="X262" s="95"/>
      <c r="Y262" s="95"/>
      <c r="Z262" s="95"/>
      <c r="AA262" s="95"/>
      <c r="AB262" s="95"/>
      <c r="AC262" s="95"/>
      <c r="AD262" s="95"/>
      <c r="AE262" s="95"/>
      <c r="AF262" s="95"/>
      <c r="AG262" s="95"/>
      <c r="AH262" s="95"/>
      <c r="AI262" s="95"/>
      <c r="AJ262" s="95"/>
    </row>
    <row r="263" spans="1:36" x14ac:dyDescent="0.25">
      <c r="A263" s="96" t="s">
        <v>38</v>
      </c>
      <c r="B263" s="95">
        <f t="shared" ref="B263:G263" si="516">B264-SUM(B259:B262)</f>
        <v>218.20000000000005</v>
      </c>
      <c r="C263" s="95">
        <f t="shared" si="516"/>
        <v>-98.500000000000227</v>
      </c>
      <c r="D263" s="95">
        <f t="shared" si="516"/>
        <v>127.29999999999973</v>
      </c>
      <c r="E263" s="95">
        <f t="shared" si="516"/>
        <v>95.000000000000227</v>
      </c>
      <c r="F263" s="95">
        <f t="shared" si="516"/>
        <v>-150.49999999999864</v>
      </c>
      <c r="G263" s="95">
        <f t="shared" si="516"/>
        <v>252.39999999999998</v>
      </c>
      <c r="H263" s="95">
        <f t="shared" ref="H263" si="517">H264-SUM(H259:H262)</f>
        <v>166.39999999999969</v>
      </c>
      <c r="I263" s="99" t="s">
        <v>114</v>
      </c>
      <c r="J263" s="93"/>
      <c r="K263" s="93"/>
      <c r="L263" s="93"/>
      <c r="M263" s="93"/>
      <c r="N263" s="93"/>
      <c r="O263" s="93"/>
      <c r="P263" s="93"/>
      <c r="Q263" s="93"/>
      <c r="R263" s="93"/>
      <c r="S263" s="93"/>
      <c r="T263" s="93"/>
      <c r="U263" s="93"/>
      <c r="V263" s="93"/>
      <c r="W263" s="95"/>
      <c r="X263" s="93"/>
      <c r="Y263" s="93"/>
      <c r="Z263" s="93"/>
      <c r="AA263" s="93"/>
      <c r="AB263" s="93"/>
      <c r="AC263" s="93"/>
      <c r="AD263" s="93"/>
      <c r="AE263" s="93"/>
      <c r="AF263" s="93"/>
      <c r="AG263" s="93"/>
      <c r="AH263" s="93"/>
      <c r="AI263" s="93"/>
      <c r="AJ263" s="93"/>
    </row>
    <row r="264" spans="1:36" x14ac:dyDescent="0.25">
      <c r="A264" s="100" t="s">
        <v>115</v>
      </c>
      <c r="B264" s="101">
        <v>-1211.5999999999999</v>
      </c>
      <c r="C264" s="101">
        <v>-1819.3</v>
      </c>
      <c r="D264" s="101">
        <v>-1297.8</v>
      </c>
      <c r="E264" s="101">
        <v>-1108.2</v>
      </c>
      <c r="F264" s="101">
        <f>-2657.5</f>
        <v>-2657.5</v>
      </c>
      <c r="G264" s="101">
        <v>-945.4</v>
      </c>
      <c r="H264" s="101">
        <f>-380.8</f>
        <v>-380.8</v>
      </c>
      <c r="I264" s="102"/>
      <c r="J264" s="101"/>
      <c r="K264" s="101"/>
      <c r="L264" s="101"/>
      <c r="M264" s="101"/>
      <c r="N264" s="101"/>
      <c r="O264" s="101"/>
      <c r="P264" s="101"/>
      <c r="Q264" s="103"/>
      <c r="R264" s="101"/>
      <c r="S264" s="101"/>
      <c r="T264" s="101"/>
      <c r="U264" s="103"/>
      <c r="V264" s="101"/>
      <c r="W264" s="101"/>
      <c r="X264" s="101"/>
      <c r="Y264" s="101"/>
      <c r="Z264" s="101"/>
      <c r="AA264" s="101"/>
      <c r="AB264" s="101"/>
      <c r="AC264" s="101"/>
      <c r="AD264" s="101"/>
      <c r="AE264" s="101"/>
      <c r="AF264" s="101"/>
      <c r="AG264" s="101"/>
      <c r="AH264" s="101"/>
      <c r="AI264" s="101"/>
      <c r="AJ264" s="101"/>
    </row>
    <row r="265" spans="1:36" x14ac:dyDescent="0.25">
      <c r="A265" s="6"/>
      <c r="B265" s="6"/>
      <c r="C265" s="93"/>
      <c r="D265" s="93"/>
      <c r="E265" s="93"/>
      <c r="F265" s="93"/>
      <c r="G265" s="93"/>
      <c r="H265" s="93"/>
      <c r="I265" s="93"/>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x14ac:dyDescent="0.25">
      <c r="A266" s="4" t="s">
        <v>116</v>
      </c>
      <c r="B266" s="104">
        <v>-12.1</v>
      </c>
      <c r="C266" s="104">
        <v>-32.799999999999997</v>
      </c>
      <c r="D266" s="104">
        <v>-31.7</v>
      </c>
      <c r="E266" s="104">
        <v>-23.8</v>
      </c>
      <c r="F266" s="104">
        <v>-16.8</v>
      </c>
      <c r="G266" s="104">
        <v>-3.7</v>
      </c>
      <c r="H266" s="104">
        <f>-7.2</f>
        <v>-7.2</v>
      </c>
      <c r="I266" s="95"/>
      <c r="J266" s="98"/>
      <c r="K266" s="98"/>
      <c r="L266" s="98"/>
      <c r="M266" s="98"/>
      <c r="N266" s="98"/>
      <c r="O266" s="98"/>
      <c r="P266" s="98"/>
      <c r="Q266" s="7"/>
      <c r="R266" s="98"/>
      <c r="S266" s="98"/>
      <c r="T266" s="98"/>
      <c r="U266" s="7"/>
      <c r="V266" s="98"/>
      <c r="W266" s="98"/>
      <c r="X266" s="98"/>
      <c r="Y266" s="98"/>
      <c r="Z266" s="98"/>
      <c r="AA266" s="98"/>
      <c r="AB266" s="98"/>
      <c r="AC266" s="98"/>
      <c r="AD266" s="98"/>
      <c r="AE266" s="98"/>
      <c r="AF266" s="98"/>
      <c r="AG266" s="98"/>
      <c r="AH266" s="98"/>
      <c r="AI266" s="98"/>
      <c r="AJ266" s="98"/>
    </row>
    <row r="267" spans="1:36" x14ac:dyDescent="0.25">
      <c r="A267" s="4" t="s">
        <v>117</v>
      </c>
      <c r="B267" s="4"/>
      <c r="C267" s="104"/>
      <c r="D267" s="104"/>
      <c r="E267" s="104"/>
      <c r="F267" s="104"/>
      <c r="G267" s="104"/>
      <c r="H267" s="104"/>
      <c r="I267" s="104"/>
      <c r="J267" s="104"/>
      <c r="K267" s="104"/>
      <c r="L267" s="104"/>
      <c r="M267" s="104"/>
      <c r="N267" s="104"/>
      <c r="O267" s="104"/>
      <c r="P267" s="104"/>
      <c r="Q267" s="7"/>
      <c r="R267" s="104"/>
      <c r="S267" s="104"/>
      <c r="T267" s="104"/>
      <c r="U267" s="7"/>
      <c r="V267" s="104"/>
      <c r="W267" s="104"/>
      <c r="X267" s="104"/>
      <c r="Y267" s="104"/>
      <c r="Z267" s="104"/>
      <c r="AA267" s="104"/>
      <c r="AB267" s="104"/>
      <c r="AC267" s="104"/>
      <c r="AD267" s="104"/>
      <c r="AE267" s="104"/>
      <c r="AF267" s="104"/>
      <c r="AG267" s="104"/>
      <c r="AH267" s="104"/>
      <c r="AI267" s="104"/>
      <c r="AJ267" s="104"/>
    </row>
    <row r="268" spans="1:36" x14ac:dyDescent="0.25">
      <c r="A268" s="96" t="s">
        <v>38</v>
      </c>
      <c r="B268" s="95">
        <f t="shared" ref="B268:H268" si="518">B269-SUM(B266:B267)</f>
        <v>-98.5</v>
      </c>
      <c r="C268" s="95">
        <f t="shared" si="518"/>
        <v>-382.5</v>
      </c>
      <c r="D268" s="95">
        <f t="shared" si="518"/>
        <v>-235.7</v>
      </c>
      <c r="E268" s="95">
        <f t="shared" si="518"/>
        <v>-205.89999999999998</v>
      </c>
      <c r="F268" s="95">
        <f t="shared" si="518"/>
        <v>-669.80000000000007</v>
      </c>
      <c r="G268" s="95">
        <f t="shared" si="518"/>
        <v>-1022.5999999999999</v>
      </c>
      <c r="H268" s="95">
        <f t="shared" si="518"/>
        <v>1222</v>
      </c>
      <c r="I268" s="99" t="s">
        <v>118</v>
      </c>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c r="AG268" s="93"/>
      <c r="AH268" s="93"/>
      <c r="AI268" s="93"/>
      <c r="AJ268" s="93"/>
    </row>
    <row r="269" spans="1:36" x14ac:dyDescent="0.25">
      <c r="A269" s="100" t="s">
        <v>119</v>
      </c>
      <c r="B269" s="101">
        <v>-110.6</v>
      </c>
      <c r="C269" s="101">
        <v>-415.3</v>
      </c>
      <c r="D269" s="101">
        <v>-267.39999999999998</v>
      </c>
      <c r="E269" s="101">
        <v>-229.7</v>
      </c>
      <c r="F269" s="101">
        <v>-686.6</v>
      </c>
      <c r="G269" s="101">
        <v>-1026.3</v>
      </c>
      <c r="H269" s="101">
        <f>1214.8</f>
        <v>1214.8</v>
      </c>
      <c r="I269" s="102"/>
      <c r="J269" s="101"/>
      <c r="K269" s="101"/>
      <c r="L269" s="101"/>
      <c r="M269" s="101"/>
      <c r="N269" s="101"/>
      <c r="O269" s="101"/>
      <c r="P269" s="101"/>
      <c r="Q269" s="103"/>
      <c r="R269" s="101"/>
      <c r="S269" s="101"/>
      <c r="T269" s="101"/>
      <c r="U269" s="103"/>
      <c r="V269" s="101"/>
      <c r="W269" s="101"/>
      <c r="X269" s="101"/>
      <c r="Y269" s="101"/>
      <c r="Z269" s="101"/>
      <c r="AA269" s="101"/>
      <c r="AB269" s="101"/>
      <c r="AC269" s="101"/>
      <c r="AD269" s="101"/>
      <c r="AE269" s="101"/>
      <c r="AF269" s="101"/>
      <c r="AG269" s="101"/>
      <c r="AH269" s="101"/>
      <c r="AI269" s="101"/>
      <c r="AJ269" s="101"/>
    </row>
    <row r="270" spans="1:36" x14ac:dyDescent="0.25">
      <c r="A270" s="6"/>
      <c r="B270" s="6"/>
      <c r="C270" s="93"/>
      <c r="D270" s="93"/>
      <c r="E270" s="93"/>
      <c r="F270" s="93"/>
      <c r="G270" s="93"/>
      <c r="H270" s="93"/>
      <c r="I270" s="93"/>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x14ac:dyDescent="0.25">
      <c r="A271" s="4" t="s">
        <v>120</v>
      </c>
      <c r="B271" s="98">
        <v>988.8</v>
      </c>
      <c r="C271" s="98">
        <v>3402.6</v>
      </c>
      <c r="D271" s="98">
        <v>0</v>
      </c>
      <c r="E271" s="98">
        <v>5174.5</v>
      </c>
      <c r="F271" s="98">
        <f>-968.4+31.7</f>
        <v>-936.69999999999993</v>
      </c>
      <c r="G271" s="98">
        <f>3451.9-401.5+10.6</f>
        <v>3061</v>
      </c>
      <c r="H271" s="98">
        <f>12.8</f>
        <v>12.8</v>
      </c>
      <c r="I271" s="104"/>
      <c r="J271" s="98"/>
      <c r="K271" s="98"/>
      <c r="L271" s="98"/>
      <c r="M271" s="98"/>
      <c r="N271" s="98"/>
      <c r="O271" s="98"/>
      <c r="P271" s="98"/>
      <c r="Q271" s="7"/>
      <c r="R271" s="98"/>
      <c r="S271" s="98"/>
      <c r="T271" s="98"/>
      <c r="U271" s="7"/>
      <c r="V271" s="98"/>
      <c r="W271" s="98"/>
      <c r="X271" s="98"/>
      <c r="Y271" s="98"/>
      <c r="Z271" s="98"/>
      <c r="AA271" s="98"/>
      <c r="AB271" s="98"/>
      <c r="AC271" s="98"/>
      <c r="AD271" s="98"/>
      <c r="AE271" s="98"/>
      <c r="AF271" s="98"/>
      <c r="AG271" s="98"/>
      <c r="AH271" s="98"/>
      <c r="AI271" s="98"/>
      <c r="AJ271" s="98"/>
    </row>
    <row r="272" spans="1:36" x14ac:dyDescent="0.25">
      <c r="A272" s="4" t="s">
        <v>121</v>
      </c>
      <c r="B272" s="98">
        <v>354.4</v>
      </c>
      <c r="C272" s="98">
        <v>-354.4</v>
      </c>
      <c r="D272" s="98">
        <v>0</v>
      </c>
      <c r="E272" s="98">
        <v>600</v>
      </c>
      <c r="F272" s="98">
        <f>100-600</f>
        <v>-500</v>
      </c>
      <c r="G272" s="98">
        <f>1118-1118</f>
        <v>0</v>
      </c>
      <c r="H272" s="98">
        <f>-100</f>
        <v>-100</v>
      </c>
      <c r="I272" s="104"/>
      <c r="J272" s="98"/>
      <c r="K272" s="98"/>
      <c r="L272" s="98"/>
      <c r="M272" s="98"/>
      <c r="N272" s="98"/>
      <c r="O272" s="98"/>
      <c r="P272" s="98"/>
      <c r="Q272" s="7"/>
      <c r="R272" s="98"/>
      <c r="S272" s="98"/>
      <c r="T272" s="98"/>
      <c r="U272" s="7"/>
      <c r="V272" s="98"/>
      <c r="W272" s="98"/>
      <c r="X272" s="98"/>
      <c r="Y272" s="98"/>
      <c r="Z272" s="98"/>
      <c r="AA272" s="98"/>
      <c r="AB272" s="98"/>
      <c r="AC272" s="98"/>
      <c r="AD272" s="98"/>
      <c r="AE272" s="98"/>
      <c r="AF272" s="98"/>
      <c r="AG272" s="98"/>
      <c r="AH272" s="98"/>
      <c r="AI272" s="98"/>
      <c r="AJ272" s="98"/>
    </row>
    <row r="273" spans="1:36" x14ac:dyDescent="0.25">
      <c r="A273" s="96" t="s">
        <v>38</v>
      </c>
      <c r="B273" s="95">
        <f t="shared" ref="B273:D273" si="519">B274-SUM(B271:B272)</f>
        <v>-4.8999999999998636</v>
      </c>
      <c r="C273" s="95">
        <f t="shared" si="519"/>
        <v>-9.9999999999909051E-2</v>
      </c>
      <c r="D273" s="95">
        <f t="shared" si="519"/>
        <v>0</v>
      </c>
      <c r="E273" s="95">
        <f t="shared" ref="E273:G273" si="520">E274-SUM(E271:E272)</f>
        <v>117</v>
      </c>
      <c r="F273" s="95">
        <f t="shared" si="520"/>
        <v>-117.80000000000018</v>
      </c>
      <c r="G273" s="95">
        <f t="shared" si="520"/>
        <v>-6.1999999999998181</v>
      </c>
      <c r="H273" s="95">
        <f t="shared" ref="H273" si="521">H274-SUM(H271:H272)</f>
        <v>2.1000000000000085</v>
      </c>
      <c r="I273" s="10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row>
    <row r="274" spans="1:36" x14ac:dyDescent="0.25">
      <c r="A274" s="106" t="s">
        <v>122</v>
      </c>
      <c r="B274" s="101">
        <v>1338.3</v>
      </c>
      <c r="C274" s="101">
        <v>3048.1</v>
      </c>
      <c r="D274" s="101">
        <v>0</v>
      </c>
      <c r="E274" s="101">
        <v>5891.5</v>
      </c>
      <c r="F274" s="101">
        <v>-1554.5</v>
      </c>
      <c r="G274" s="101">
        <v>3054.8</v>
      </c>
      <c r="H274" s="101">
        <f>-85.1</f>
        <v>-85.1</v>
      </c>
      <c r="I274" s="107"/>
      <c r="J274" s="101"/>
      <c r="K274" s="101"/>
      <c r="L274" s="101"/>
      <c r="M274" s="101"/>
      <c r="N274" s="101"/>
      <c r="O274" s="101"/>
      <c r="P274" s="101"/>
      <c r="Q274" s="103"/>
      <c r="R274" s="101"/>
      <c r="S274" s="101"/>
      <c r="T274" s="101"/>
      <c r="U274" s="103"/>
      <c r="V274" s="101"/>
      <c r="W274" s="101"/>
      <c r="X274" s="101"/>
      <c r="Y274" s="101"/>
      <c r="Z274" s="101"/>
      <c r="AA274" s="101"/>
      <c r="AB274" s="101"/>
      <c r="AC274" s="101"/>
      <c r="AD274" s="101"/>
      <c r="AE274" s="101"/>
      <c r="AF274" s="101"/>
      <c r="AG274" s="101"/>
      <c r="AH274" s="101"/>
      <c r="AI274" s="101"/>
      <c r="AJ274" s="101"/>
    </row>
    <row r="275" spans="1:36" x14ac:dyDescent="0.25">
      <c r="A275" s="96"/>
      <c r="B275" s="96"/>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c r="AE275" s="95"/>
      <c r="AF275" s="95"/>
      <c r="AG275" s="95"/>
      <c r="AH275" s="95"/>
      <c r="AI275" s="95"/>
      <c r="AJ275" s="95"/>
    </row>
    <row r="276" spans="1:36" x14ac:dyDescent="0.25">
      <c r="A276" s="4" t="s">
        <v>123</v>
      </c>
      <c r="B276" s="98">
        <v>-74.3</v>
      </c>
      <c r="C276" s="98">
        <v>11</v>
      </c>
      <c r="D276" s="98">
        <v>-22.5</v>
      </c>
      <c r="E276" s="98">
        <v>-188</v>
      </c>
      <c r="F276" s="98">
        <v>-51.4</v>
      </c>
      <c r="G276" s="98">
        <v>13.9</v>
      </c>
      <c r="H276" s="98">
        <f>-4.4</f>
        <v>-4.4000000000000004</v>
      </c>
      <c r="I276" s="108"/>
      <c r="J276" s="98"/>
      <c r="K276" s="98"/>
      <c r="L276" s="98"/>
      <c r="M276" s="98"/>
      <c r="N276" s="98"/>
      <c r="O276" s="98"/>
      <c r="P276" s="98"/>
      <c r="Q276" s="7"/>
      <c r="R276" s="98"/>
      <c r="S276" s="98"/>
      <c r="T276" s="98"/>
      <c r="U276" s="7"/>
      <c r="V276" s="98"/>
      <c r="W276" s="98"/>
      <c r="X276" s="98"/>
      <c r="Y276" s="98"/>
      <c r="Z276" s="98"/>
      <c r="AA276" s="98"/>
      <c r="AB276" s="98"/>
      <c r="AC276" s="98"/>
      <c r="AD276" s="98"/>
      <c r="AE276" s="98"/>
      <c r="AF276" s="98"/>
      <c r="AG276" s="98"/>
      <c r="AH276" s="98"/>
      <c r="AI276" s="98"/>
      <c r="AJ276" s="98"/>
    </row>
    <row r="277" spans="1:36" x14ac:dyDescent="0.25">
      <c r="A277" s="106" t="s">
        <v>124</v>
      </c>
      <c r="B277" s="103">
        <f t="shared" ref="B277:H277" si="522">+B276+B274+B269+B264</f>
        <v>-58.199999999999818</v>
      </c>
      <c r="C277" s="103">
        <f t="shared" si="522"/>
        <v>824.49999999999977</v>
      </c>
      <c r="D277" s="103">
        <f t="shared" si="522"/>
        <v>-1587.6999999999998</v>
      </c>
      <c r="E277" s="103">
        <f t="shared" si="522"/>
        <v>4365.6000000000004</v>
      </c>
      <c r="F277" s="103">
        <f t="shared" si="522"/>
        <v>-4950</v>
      </c>
      <c r="G277" s="103">
        <f t="shared" si="522"/>
        <v>1097.0000000000005</v>
      </c>
      <c r="H277" s="103">
        <f t="shared" si="522"/>
        <v>744.5</v>
      </c>
      <c r="I277" s="107"/>
      <c r="J277" s="103"/>
      <c r="K277" s="103"/>
      <c r="L277" s="103"/>
      <c r="M277" s="103"/>
      <c r="N277" s="103"/>
      <c r="O277" s="103"/>
      <c r="P277" s="103"/>
      <c r="Q277" s="103"/>
      <c r="R277" s="103"/>
      <c r="S277" s="103"/>
      <c r="T277" s="103"/>
      <c r="U277" s="103"/>
      <c r="V277" s="103"/>
      <c r="W277" s="103"/>
      <c r="X277" s="103"/>
      <c r="Y277" s="103"/>
      <c r="Z277" s="103"/>
      <c r="AA277" s="103"/>
      <c r="AB277" s="103"/>
      <c r="AC277" s="103"/>
      <c r="AD277" s="103"/>
      <c r="AE277" s="103"/>
      <c r="AF277" s="103"/>
      <c r="AG277" s="103"/>
      <c r="AH277" s="103"/>
      <c r="AI277" s="103"/>
      <c r="AJ277" s="103"/>
    </row>
    <row r="278" spans="1:36" x14ac:dyDescent="0.25">
      <c r="A278" s="96"/>
      <c r="B278" s="96"/>
      <c r="C278" s="95"/>
      <c r="D278" s="95"/>
      <c r="E278" s="95"/>
      <c r="F278" s="95"/>
      <c r="G278" s="95"/>
      <c r="H278" s="95"/>
      <c r="I278" s="107"/>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c r="AG278" s="96"/>
      <c r="AH278" s="96"/>
      <c r="AI278" s="96"/>
      <c r="AJ278" s="96"/>
    </row>
    <row r="279" spans="1:36" x14ac:dyDescent="0.25">
      <c r="A279" s="12"/>
      <c r="B279" s="12"/>
      <c r="C279" s="12"/>
      <c r="D279" s="12"/>
      <c r="E279" s="12"/>
      <c r="F279" s="12"/>
      <c r="G279" s="12"/>
      <c r="H279" s="12"/>
      <c r="I279" s="12"/>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755DD-16CF-45F7-985B-07CAF18E99C2}">
  <dimension ref="A1:C17"/>
  <sheetViews>
    <sheetView workbookViewId="0">
      <selection activeCell="A18" sqref="A18"/>
    </sheetView>
  </sheetViews>
  <sheetFormatPr defaultRowHeight="15" x14ac:dyDescent="0.25"/>
  <cols>
    <col min="1" max="1" width="14.42578125" style="188" customWidth="1"/>
    <col min="2" max="2" width="41.28515625" customWidth="1"/>
    <col min="3" max="3" width="145" style="191" customWidth="1"/>
  </cols>
  <sheetData>
    <row r="1" spans="1:3" x14ac:dyDescent="0.25">
      <c r="A1" s="187" t="s">
        <v>222</v>
      </c>
    </row>
    <row r="2" spans="1:3" s="186" customFormat="1" x14ac:dyDescent="0.25">
      <c r="A2" s="190" t="s">
        <v>191</v>
      </c>
      <c r="B2" s="186" t="s">
        <v>192</v>
      </c>
      <c r="C2" s="192" t="s">
        <v>193</v>
      </c>
    </row>
    <row r="3" spans="1:3" x14ac:dyDescent="0.25">
      <c r="A3" s="189">
        <v>45684</v>
      </c>
      <c r="B3" t="s">
        <v>197</v>
      </c>
      <c r="C3" s="191" t="s">
        <v>217</v>
      </c>
    </row>
    <row r="4" spans="1:3" x14ac:dyDescent="0.25">
      <c r="A4" s="189">
        <v>45551</v>
      </c>
      <c r="B4" t="s">
        <v>216</v>
      </c>
      <c r="C4" s="191" t="s">
        <v>215</v>
      </c>
    </row>
    <row r="5" spans="1:3" ht="45" x14ac:dyDescent="0.25">
      <c r="A5" s="189">
        <v>44620</v>
      </c>
      <c r="B5" t="s">
        <v>212</v>
      </c>
      <c r="C5" s="191" t="s">
        <v>213</v>
      </c>
    </row>
    <row r="6" spans="1:3" x14ac:dyDescent="0.25">
      <c r="A6" s="189">
        <v>44277</v>
      </c>
      <c r="B6" t="s">
        <v>210</v>
      </c>
      <c r="C6" s="191" t="s">
        <v>211</v>
      </c>
    </row>
    <row r="7" spans="1:3" x14ac:dyDescent="0.25">
      <c r="A7" s="189">
        <v>44168</v>
      </c>
      <c r="B7" t="s">
        <v>207</v>
      </c>
      <c r="C7" s="191" t="s">
        <v>208</v>
      </c>
    </row>
    <row r="8" spans="1:3" x14ac:dyDescent="0.25">
      <c r="A8" s="189">
        <v>43987</v>
      </c>
      <c r="B8" t="s">
        <v>204</v>
      </c>
      <c r="C8" s="191" t="s">
        <v>209</v>
      </c>
    </row>
    <row r="12" spans="1:3" x14ac:dyDescent="0.25">
      <c r="A12" s="187" t="s">
        <v>214</v>
      </c>
    </row>
    <row r="13" spans="1:3" ht="30" x14ac:dyDescent="0.25">
      <c r="A13" s="189">
        <v>45632</v>
      </c>
      <c r="B13" t="s">
        <v>194</v>
      </c>
      <c r="C13" s="191" t="s">
        <v>195</v>
      </c>
    </row>
    <row r="14" spans="1:3" x14ac:dyDescent="0.25">
      <c r="A14" s="189">
        <v>45388</v>
      </c>
      <c r="B14" t="s">
        <v>198</v>
      </c>
      <c r="C14" s="191" t="s">
        <v>199</v>
      </c>
    </row>
    <row r="15" spans="1:3" ht="30" x14ac:dyDescent="0.25">
      <c r="A15" s="189">
        <v>45356</v>
      </c>
      <c r="B15" t="s">
        <v>200</v>
      </c>
      <c r="C15" s="191" t="s">
        <v>202</v>
      </c>
    </row>
    <row r="16" spans="1:3" ht="30" x14ac:dyDescent="0.25">
      <c r="A16" s="189">
        <v>45299</v>
      </c>
      <c r="B16" t="s">
        <v>196</v>
      </c>
      <c r="C16" s="191" t="s">
        <v>201</v>
      </c>
    </row>
    <row r="17" spans="1:2" x14ac:dyDescent="0.25">
      <c r="A17" s="189">
        <v>45279</v>
      </c>
      <c r="B17"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DADA-SOTP</vt:lpstr>
      <vt:lpstr>DADA-Financials</vt:lpstr>
      <vt:lpstr>Events</vt:lpstr>
      <vt:lpstr>'DADA-SOTP'!Print_Area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Qiu</dc:creator>
  <cp:lastModifiedBy>John Qiu</cp:lastModifiedBy>
  <dcterms:created xsi:type="dcterms:W3CDTF">2025-02-10T09:46:27Z</dcterms:created>
  <dcterms:modified xsi:type="dcterms:W3CDTF">2025-02-20T08:19:18Z</dcterms:modified>
</cp:coreProperties>
</file>